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timbaumgartner/Desktop/Metropol Audit/fhoch3/FF_Starter_Kit/Finished/"/>
    </mc:Choice>
  </mc:AlternateContent>
  <xr:revisionPtr revIDLastSave="0" documentId="13_ncr:1_{20047B1B-2BF7-BA4C-888A-B19AFFBA15DE}" xr6:coauthVersionLast="47" xr6:coauthVersionMax="47" xr10:uidLastSave="{00000000-0000-0000-0000-000000000000}"/>
  <bookViews>
    <workbookView xWindow="0" yWindow="660" windowWidth="29400" windowHeight="16900" tabRatio="500" xr2:uid="{00000000-000D-0000-FFFF-FFFF00000000}"/>
  </bookViews>
  <sheets>
    <sheet name="Übersicht" sheetId="1" r:id="rId1"/>
    <sheet name="Budgetplaner" sheetId="2" r:id="rId2"/>
    <sheet name="Checkliste" sheetId="3" r:id="rId3"/>
    <sheet name="Gästeliste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1" l="1"/>
  <c r="S309" i="4"/>
  <c r="I309" i="4"/>
  <c r="S308" i="4"/>
  <c r="I308" i="4"/>
  <c r="S307" i="4"/>
  <c r="I307" i="4"/>
  <c r="S306" i="4"/>
  <c r="I306" i="4"/>
  <c r="S305" i="4"/>
  <c r="I305" i="4"/>
  <c r="S304" i="4"/>
  <c r="I304" i="4"/>
  <c r="S303" i="4"/>
  <c r="I303" i="4"/>
  <c r="S302" i="4"/>
  <c r="I302" i="4"/>
  <c r="S301" i="4"/>
  <c r="I301" i="4"/>
  <c r="S300" i="4"/>
  <c r="I300" i="4"/>
  <c r="S299" i="4"/>
  <c r="I299" i="4"/>
  <c r="S298" i="4"/>
  <c r="I298" i="4"/>
  <c r="S297" i="4"/>
  <c r="I297" i="4"/>
  <c r="S296" i="4"/>
  <c r="I296" i="4"/>
  <c r="S295" i="4"/>
  <c r="I295" i="4"/>
  <c r="S294" i="4"/>
  <c r="I294" i="4"/>
  <c r="S293" i="4"/>
  <c r="I293" i="4"/>
  <c r="S292" i="4"/>
  <c r="I292" i="4"/>
  <c r="S291" i="4"/>
  <c r="I291" i="4"/>
  <c r="S290" i="4"/>
  <c r="I290" i="4"/>
  <c r="S289" i="4"/>
  <c r="I289" i="4"/>
  <c r="S288" i="4"/>
  <c r="I288" i="4"/>
  <c r="S287" i="4"/>
  <c r="I287" i="4"/>
  <c r="S286" i="4"/>
  <c r="I286" i="4"/>
  <c r="S285" i="4"/>
  <c r="I285" i="4"/>
  <c r="S284" i="4"/>
  <c r="I284" i="4"/>
  <c r="S283" i="4"/>
  <c r="I283" i="4"/>
  <c r="S282" i="4"/>
  <c r="I282" i="4"/>
  <c r="S281" i="4"/>
  <c r="I281" i="4"/>
  <c r="S280" i="4"/>
  <c r="I280" i="4"/>
  <c r="S279" i="4"/>
  <c r="I279" i="4"/>
  <c r="S278" i="4"/>
  <c r="I278" i="4"/>
  <c r="S277" i="4"/>
  <c r="I277" i="4"/>
  <c r="S276" i="4"/>
  <c r="I276" i="4"/>
  <c r="S275" i="4"/>
  <c r="I275" i="4"/>
  <c r="S274" i="4"/>
  <c r="I274" i="4"/>
  <c r="S273" i="4"/>
  <c r="I273" i="4"/>
  <c r="S272" i="4"/>
  <c r="I272" i="4"/>
  <c r="S271" i="4"/>
  <c r="I271" i="4"/>
  <c r="S270" i="4"/>
  <c r="I270" i="4"/>
  <c r="S269" i="4"/>
  <c r="I269" i="4"/>
  <c r="S268" i="4"/>
  <c r="I268" i="4"/>
  <c r="S267" i="4"/>
  <c r="I267" i="4"/>
  <c r="S266" i="4"/>
  <c r="I266" i="4"/>
  <c r="S265" i="4"/>
  <c r="I265" i="4"/>
  <c r="S264" i="4"/>
  <c r="I264" i="4"/>
  <c r="S263" i="4"/>
  <c r="I263" i="4"/>
  <c r="S262" i="4"/>
  <c r="I262" i="4"/>
  <c r="S261" i="4"/>
  <c r="I261" i="4"/>
  <c r="S260" i="4"/>
  <c r="I260" i="4"/>
  <c r="S259" i="4"/>
  <c r="I259" i="4"/>
  <c r="S258" i="4"/>
  <c r="I258" i="4"/>
  <c r="S257" i="4"/>
  <c r="I257" i="4"/>
  <c r="S256" i="4"/>
  <c r="I256" i="4"/>
  <c r="S255" i="4"/>
  <c r="I255" i="4"/>
  <c r="S254" i="4"/>
  <c r="I254" i="4"/>
  <c r="S253" i="4"/>
  <c r="I253" i="4"/>
  <c r="S252" i="4"/>
  <c r="I252" i="4"/>
  <c r="S251" i="4"/>
  <c r="I251" i="4"/>
  <c r="S250" i="4"/>
  <c r="P250" i="4"/>
  <c r="Q250" i="4" s="1"/>
  <c r="L250" i="4"/>
  <c r="M250" i="4" s="1"/>
  <c r="I250" i="4"/>
  <c r="S249" i="4"/>
  <c r="I249" i="4"/>
  <c r="S248" i="4"/>
  <c r="I248" i="4"/>
  <c r="S247" i="4"/>
  <c r="I247" i="4"/>
  <c r="S246" i="4"/>
  <c r="I246" i="4"/>
  <c r="S245" i="4"/>
  <c r="I245" i="4"/>
  <c r="S244" i="4"/>
  <c r="I244" i="4"/>
  <c r="S243" i="4"/>
  <c r="I243" i="4"/>
  <c r="S242" i="4"/>
  <c r="I242" i="4"/>
  <c r="S241" i="4"/>
  <c r="I241" i="4"/>
  <c r="S240" i="4"/>
  <c r="I240" i="4"/>
  <c r="S239" i="4"/>
  <c r="I239" i="4"/>
  <c r="S238" i="4"/>
  <c r="I238" i="4"/>
  <c r="S237" i="4"/>
  <c r="I237" i="4"/>
  <c r="S236" i="4"/>
  <c r="I236" i="4"/>
  <c r="S235" i="4"/>
  <c r="I235" i="4"/>
  <c r="S234" i="4"/>
  <c r="I234" i="4"/>
  <c r="S233" i="4"/>
  <c r="P233" i="4"/>
  <c r="Q233" i="4" s="1"/>
  <c r="L233" i="4"/>
  <c r="M233" i="4" s="1"/>
  <c r="I233" i="4"/>
  <c r="S232" i="4"/>
  <c r="I232" i="4"/>
  <c r="S231" i="4"/>
  <c r="I231" i="4"/>
  <c r="S230" i="4"/>
  <c r="I230" i="4"/>
  <c r="S229" i="4"/>
  <c r="I229" i="4"/>
  <c r="S228" i="4"/>
  <c r="I228" i="4"/>
  <c r="S227" i="4"/>
  <c r="I227" i="4"/>
  <c r="S226" i="4"/>
  <c r="I226" i="4"/>
  <c r="S225" i="4"/>
  <c r="I225" i="4"/>
  <c r="S224" i="4"/>
  <c r="I224" i="4"/>
  <c r="S223" i="4"/>
  <c r="I223" i="4"/>
  <c r="S222" i="4"/>
  <c r="I222" i="4"/>
  <c r="S221" i="4"/>
  <c r="I221" i="4"/>
  <c r="S220" i="4"/>
  <c r="I220" i="4"/>
  <c r="S219" i="4"/>
  <c r="I219" i="4"/>
  <c r="S218" i="4"/>
  <c r="I218" i="4"/>
  <c r="S217" i="4"/>
  <c r="I217" i="4"/>
  <c r="S216" i="4"/>
  <c r="P216" i="4"/>
  <c r="Q216" i="4" s="1"/>
  <c r="L216" i="4"/>
  <c r="M216" i="4" s="1"/>
  <c r="I216" i="4"/>
  <c r="S215" i="4"/>
  <c r="I215" i="4"/>
  <c r="S214" i="4"/>
  <c r="I214" i="4"/>
  <c r="S213" i="4"/>
  <c r="I213" i="4"/>
  <c r="S212" i="4"/>
  <c r="I212" i="4"/>
  <c r="S211" i="4"/>
  <c r="I211" i="4"/>
  <c r="S210" i="4"/>
  <c r="I210" i="4"/>
  <c r="S209" i="4"/>
  <c r="I209" i="4"/>
  <c r="S208" i="4"/>
  <c r="I208" i="4"/>
  <c r="S207" i="4"/>
  <c r="I207" i="4"/>
  <c r="S206" i="4"/>
  <c r="I206" i="4"/>
  <c r="S205" i="4"/>
  <c r="I205" i="4"/>
  <c r="S204" i="4"/>
  <c r="I204" i="4"/>
  <c r="S203" i="4"/>
  <c r="I203" i="4"/>
  <c r="S202" i="4"/>
  <c r="I202" i="4"/>
  <c r="S201" i="4"/>
  <c r="I201" i="4"/>
  <c r="S200" i="4"/>
  <c r="I200" i="4"/>
  <c r="S199" i="4"/>
  <c r="P199" i="4"/>
  <c r="Q199" i="4" s="1"/>
  <c r="M199" i="4"/>
  <c r="L199" i="4"/>
  <c r="I199" i="4"/>
  <c r="S198" i="4"/>
  <c r="I198" i="4"/>
  <c r="S197" i="4"/>
  <c r="I197" i="4"/>
  <c r="S196" i="4"/>
  <c r="I196" i="4"/>
  <c r="S195" i="4"/>
  <c r="I195" i="4"/>
  <c r="S194" i="4"/>
  <c r="I194" i="4"/>
  <c r="S193" i="4"/>
  <c r="I193" i="4"/>
  <c r="S192" i="4"/>
  <c r="I192" i="4"/>
  <c r="S191" i="4"/>
  <c r="I191" i="4"/>
  <c r="S190" i="4"/>
  <c r="I190" i="4"/>
  <c r="S189" i="4"/>
  <c r="I189" i="4"/>
  <c r="S188" i="4"/>
  <c r="I188" i="4"/>
  <c r="S187" i="4"/>
  <c r="I187" i="4"/>
  <c r="S186" i="4"/>
  <c r="I186" i="4"/>
  <c r="S185" i="4"/>
  <c r="I185" i="4"/>
  <c r="S184" i="4"/>
  <c r="I184" i="4"/>
  <c r="S183" i="4"/>
  <c r="I183" i="4"/>
  <c r="S182" i="4"/>
  <c r="P182" i="4"/>
  <c r="Q182" i="4" s="1"/>
  <c r="L182" i="4"/>
  <c r="M182" i="4" s="1"/>
  <c r="I182" i="4"/>
  <c r="S181" i="4"/>
  <c r="I181" i="4"/>
  <c r="S180" i="4"/>
  <c r="I180" i="4"/>
  <c r="S179" i="4"/>
  <c r="I179" i="4"/>
  <c r="S178" i="4"/>
  <c r="I178" i="4"/>
  <c r="S177" i="4"/>
  <c r="I177" i="4"/>
  <c r="S176" i="4"/>
  <c r="I176" i="4"/>
  <c r="S175" i="4"/>
  <c r="I175" i="4"/>
  <c r="S174" i="4"/>
  <c r="I174" i="4"/>
  <c r="S173" i="4"/>
  <c r="I173" i="4"/>
  <c r="S172" i="4"/>
  <c r="I172" i="4"/>
  <c r="S171" i="4"/>
  <c r="I171" i="4"/>
  <c r="S170" i="4"/>
  <c r="I170" i="4"/>
  <c r="S169" i="4"/>
  <c r="I169" i="4"/>
  <c r="S168" i="4"/>
  <c r="I168" i="4"/>
  <c r="S167" i="4"/>
  <c r="I167" i="4"/>
  <c r="S166" i="4"/>
  <c r="I166" i="4"/>
  <c r="S165" i="4"/>
  <c r="P165" i="4"/>
  <c r="Q165" i="4" s="1"/>
  <c r="L165" i="4"/>
  <c r="M165" i="4" s="1"/>
  <c r="I165" i="4"/>
  <c r="S164" i="4"/>
  <c r="I164" i="4"/>
  <c r="S163" i="4"/>
  <c r="I163" i="4"/>
  <c r="S162" i="4"/>
  <c r="I162" i="4"/>
  <c r="S161" i="4"/>
  <c r="I161" i="4"/>
  <c r="S160" i="4"/>
  <c r="I160" i="4"/>
  <c r="S159" i="4"/>
  <c r="I159" i="4"/>
  <c r="S158" i="4"/>
  <c r="I158" i="4"/>
  <c r="S157" i="4"/>
  <c r="I157" i="4"/>
  <c r="S156" i="4"/>
  <c r="I156" i="4"/>
  <c r="S155" i="4"/>
  <c r="I155" i="4"/>
  <c r="S154" i="4"/>
  <c r="I154" i="4"/>
  <c r="S153" i="4"/>
  <c r="I153" i="4"/>
  <c r="S152" i="4"/>
  <c r="I152" i="4"/>
  <c r="S151" i="4"/>
  <c r="I151" i="4"/>
  <c r="S150" i="4"/>
  <c r="I150" i="4"/>
  <c r="S149" i="4"/>
  <c r="I149" i="4"/>
  <c r="S148" i="4"/>
  <c r="P148" i="4"/>
  <c r="Q148" i="4" s="1"/>
  <c r="L148" i="4"/>
  <c r="M148" i="4" s="1"/>
  <c r="I148" i="4"/>
  <c r="S147" i="4"/>
  <c r="I147" i="4"/>
  <c r="S146" i="4"/>
  <c r="I146" i="4"/>
  <c r="S145" i="4"/>
  <c r="I145" i="4"/>
  <c r="S144" i="4"/>
  <c r="I144" i="4"/>
  <c r="S143" i="4"/>
  <c r="I143" i="4"/>
  <c r="S142" i="4"/>
  <c r="I142" i="4"/>
  <c r="S141" i="4"/>
  <c r="I141" i="4"/>
  <c r="S140" i="4"/>
  <c r="I140" i="4"/>
  <c r="S139" i="4"/>
  <c r="I139" i="4"/>
  <c r="S138" i="4"/>
  <c r="I138" i="4"/>
  <c r="S137" i="4"/>
  <c r="I137" i="4"/>
  <c r="S136" i="4"/>
  <c r="I136" i="4"/>
  <c r="S135" i="4"/>
  <c r="I135" i="4"/>
  <c r="S134" i="4"/>
  <c r="I134" i="4"/>
  <c r="S133" i="4"/>
  <c r="I133" i="4"/>
  <c r="S132" i="4"/>
  <c r="I132" i="4"/>
  <c r="S131" i="4"/>
  <c r="P131" i="4"/>
  <c r="Q131" i="4" s="1"/>
  <c r="L131" i="4"/>
  <c r="M131" i="4" s="1"/>
  <c r="I131" i="4"/>
  <c r="S130" i="4"/>
  <c r="I130" i="4"/>
  <c r="S129" i="4"/>
  <c r="I129" i="4"/>
  <c r="S128" i="4"/>
  <c r="I128" i="4"/>
  <c r="S127" i="4"/>
  <c r="I127" i="4"/>
  <c r="S126" i="4"/>
  <c r="I126" i="4"/>
  <c r="S125" i="4"/>
  <c r="I125" i="4"/>
  <c r="S124" i="4"/>
  <c r="I124" i="4"/>
  <c r="S123" i="4"/>
  <c r="I123" i="4"/>
  <c r="S122" i="4"/>
  <c r="I122" i="4"/>
  <c r="S121" i="4"/>
  <c r="I121" i="4"/>
  <c r="S120" i="4"/>
  <c r="I120" i="4"/>
  <c r="S119" i="4"/>
  <c r="I119" i="4"/>
  <c r="S118" i="4"/>
  <c r="I118" i="4"/>
  <c r="S117" i="4"/>
  <c r="I117" i="4"/>
  <c r="S116" i="4"/>
  <c r="I116" i="4"/>
  <c r="S115" i="4"/>
  <c r="I115" i="4"/>
  <c r="S114" i="4"/>
  <c r="P114" i="4"/>
  <c r="Q114" i="4" s="1"/>
  <c r="L114" i="4"/>
  <c r="M114" i="4" s="1"/>
  <c r="I114" i="4"/>
  <c r="S113" i="4"/>
  <c r="I113" i="4"/>
  <c r="S112" i="4"/>
  <c r="I112" i="4"/>
  <c r="S111" i="4"/>
  <c r="I111" i="4"/>
  <c r="S110" i="4"/>
  <c r="I110" i="4"/>
  <c r="S109" i="4"/>
  <c r="I109" i="4"/>
  <c r="S108" i="4"/>
  <c r="I108" i="4"/>
  <c r="S107" i="4"/>
  <c r="I107" i="4"/>
  <c r="S106" i="4"/>
  <c r="I106" i="4"/>
  <c r="S105" i="4"/>
  <c r="I105" i="4"/>
  <c r="S104" i="4"/>
  <c r="I104" i="4"/>
  <c r="S103" i="4"/>
  <c r="I103" i="4"/>
  <c r="S102" i="4"/>
  <c r="I102" i="4"/>
  <c r="S101" i="4"/>
  <c r="I101" i="4"/>
  <c r="S100" i="4"/>
  <c r="I100" i="4"/>
  <c r="S99" i="4"/>
  <c r="I99" i="4"/>
  <c r="S98" i="4"/>
  <c r="I98" i="4"/>
  <c r="S97" i="4"/>
  <c r="P97" i="4"/>
  <c r="Q97" i="4" s="1"/>
  <c r="L97" i="4"/>
  <c r="M97" i="4" s="1"/>
  <c r="I97" i="4"/>
  <c r="S96" i="4"/>
  <c r="I96" i="4"/>
  <c r="S95" i="4"/>
  <c r="I95" i="4"/>
  <c r="S94" i="4"/>
  <c r="I94" i="4"/>
  <c r="S93" i="4"/>
  <c r="I93" i="4"/>
  <c r="S92" i="4"/>
  <c r="I92" i="4"/>
  <c r="S91" i="4"/>
  <c r="I91" i="4"/>
  <c r="S90" i="4"/>
  <c r="I90" i="4"/>
  <c r="S89" i="4"/>
  <c r="I89" i="4"/>
  <c r="S88" i="4"/>
  <c r="I88" i="4"/>
  <c r="S87" i="4"/>
  <c r="I87" i="4"/>
  <c r="S86" i="4"/>
  <c r="I86" i="4"/>
  <c r="S85" i="4"/>
  <c r="I85" i="4"/>
  <c r="S84" i="4"/>
  <c r="I84" i="4"/>
  <c r="S83" i="4"/>
  <c r="I83" i="4"/>
  <c r="S82" i="4"/>
  <c r="I82" i="4"/>
  <c r="S81" i="4"/>
  <c r="I81" i="4"/>
  <c r="S80" i="4"/>
  <c r="P80" i="4"/>
  <c r="Q80" i="4" s="1"/>
  <c r="L80" i="4"/>
  <c r="M80" i="4" s="1"/>
  <c r="I80" i="4"/>
  <c r="S79" i="4"/>
  <c r="I79" i="4"/>
  <c r="S78" i="4"/>
  <c r="I78" i="4"/>
  <c r="S77" i="4"/>
  <c r="I77" i="4"/>
  <c r="S76" i="4"/>
  <c r="I76" i="4"/>
  <c r="S75" i="4"/>
  <c r="I75" i="4"/>
  <c r="S74" i="4"/>
  <c r="I74" i="4"/>
  <c r="S73" i="4"/>
  <c r="I73" i="4"/>
  <c r="S72" i="4"/>
  <c r="I72" i="4"/>
  <c r="S71" i="4"/>
  <c r="I71" i="4"/>
  <c r="S70" i="4"/>
  <c r="I70" i="4"/>
  <c r="S69" i="4"/>
  <c r="I69" i="4"/>
  <c r="S68" i="4"/>
  <c r="I68" i="4"/>
  <c r="S67" i="4"/>
  <c r="I67" i="4"/>
  <c r="S66" i="4"/>
  <c r="I66" i="4"/>
  <c r="S65" i="4"/>
  <c r="I65" i="4"/>
  <c r="S64" i="4"/>
  <c r="I64" i="4"/>
  <c r="S63" i="4"/>
  <c r="P63" i="4"/>
  <c r="Q63" i="4" s="1"/>
  <c r="M63" i="4"/>
  <c r="L63" i="4"/>
  <c r="I63" i="4"/>
  <c r="S62" i="4"/>
  <c r="I62" i="4"/>
  <c r="S61" i="4"/>
  <c r="I61" i="4"/>
  <c r="S60" i="4"/>
  <c r="I60" i="4"/>
  <c r="S59" i="4"/>
  <c r="I59" i="4"/>
  <c r="S58" i="4"/>
  <c r="I58" i="4"/>
  <c r="S57" i="4"/>
  <c r="I57" i="4"/>
  <c r="S56" i="4"/>
  <c r="I56" i="4"/>
  <c r="S55" i="4"/>
  <c r="I55" i="4"/>
  <c r="S54" i="4"/>
  <c r="I54" i="4"/>
  <c r="S53" i="4"/>
  <c r="I53" i="4"/>
  <c r="S52" i="4"/>
  <c r="I52" i="4"/>
  <c r="S51" i="4"/>
  <c r="I51" i="4"/>
  <c r="S50" i="4"/>
  <c r="I50" i="4"/>
  <c r="S49" i="4"/>
  <c r="I49" i="4"/>
  <c r="S48" i="4"/>
  <c r="I48" i="4"/>
  <c r="S47" i="4"/>
  <c r="I47" i="4"/>
  <c r="S46" i="4"/>
  <c r="Q46" i="4"/>
  <c r="P46" i="4"/>
  <c r="L46" i="4"/>
  <c r="M46" i="4" s="1"/>
  <c r="I46" i="4"/>
  <c r="S45" i="4"/>
  <c r="I45" i="4"/>
  <c r="S44" i="4"/>
  <c r="I44" i="4"/>
  <c r="S43" i="4"/>
  <c r="I43" i="4"/>
  <c r="S42" i="4"/>
  <c r="I42" i="4"/>
  <c r="S41" i="4"/>
  <c r="I41" i="4"/>
  <c r="S40" i="4"/>
  <c r="I40" i="4"/>
  <c r="S39" i="4"/>
  <c r="I39" i="4"/>
  <c r="S38" i="4"/>
  <c r="I38" i="4"/>
  <c r="S37" i="4"/>
  <c r="I37" i="4"/>
  <c r="S36" i="4"/>
  <c r="I36" i="4"/>
  <c r="S35" i="4"/>
  <c r="I35" i="4"/>
  <c r="S34" i="4"/>
  <c r="I34" i="4"/>
  <c r="S33" i="4"/>
  <c r="I33" i="4"/>
  <c r="S32" i="4"/>
  <c r="I32" i="4"/>
  <c r="S31" i="4"/>
  <c r="I31" i="4"/>
  <c r="S30" i="4"/>
  <c r="I30" i="4"/>
  <c r="S29" i="4"/>
  <c r="Q29" i="4"/>
  <c r="P29" i="4"/>
  <c r="L29" i="4"/>
  <c r="M29" i="4" s="1"/>
  <c r="I29" i="4"/>
  <c r="S28" i="4"/>
  <c r="I28" i="4"/>
  <c r="S27" i="4"/>
  <c r="I27" i="4"/>
  <c r="S26" i="4"/>
  <c r="I26" i="4"/>
  <c r="S25" i="4"/>
  <c r="I25" i="4"/>
  <c r="S24" i="4"/>
  <c r="I24" i="4"/>
  <c r="S23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  <c r="S15" i="4"/>
  <c r="I15" i="4"/>
  <c r="S14" i="4"/>
  <c r="I14" i="4"/>
  <c r="S13" i="4"/>
  <c r="I13" i="4"/>
  <c r="S12" i="4"/>
  <c r="Q12" i="4"/>
  <c r="P12" i="4"/>
  <c r="L12" i="4"/>
  <c r="M12" i="4" s="1"/>
  <c r="I12" i="4"/>
  <c r="S11" i="4"/>
  <c r="I11" i="4"/>
  <c r="S10" i="4"/>
  <c r="K261" i="4" s="1"/>
  <c r="L261" i="4" s="1"/>
  <c r="I10" i="4"/>
  <c r="P6" i="4"/>
  <c r="L6" i="4"/>
  <c r="O6" i="4" s="1"/>
  <c r="K6" i="4"/>
  <c r="H6" i="4"/>
  <c r="F6" i="4"/>
  <c r="D6" i="4"/>
  <c r="B6" i="4"/>
  <c r="E6" i="3"/>
  <c r="H48" i="2"/>
  <c r="G48" i="2"/>
  <c r="E48" i="2"/>
  <c r="D48" i="2"/>
  <c r="H47" i="2"/>
  <c r="F47" i="2"/>
  <c r="H46" i="2"/>
  <c r="F46" i="2"/>
  <c r="H44" i="2"/>
  <c r="F44" i="2"/>
  <c r="H43" i="2"/>
  <c r="F43" i="2"/>
  <c r="H42" i="2"/>
  <c r="F42" i="2"/>
  <c r="H41" i="2"/>
  <c r="F41" i="2"/>
  <c r="H40" i="2"/>
  <c r="F40" i="2"/>
  <c r="H39" i="2"/>
  <c r="F39" i="2"/>
  <c r="H38" i="2"/>
  <c r="F38" i="2"/>
  <c r="H37" i="2"/>
  <c r="F37" i="2"/>
  <c r="H36" i="2"/>
  <c r="F36" i="2"/>
  <c r="H35" i="2"/>
  <c r="F35" i="2"/>
  <c r="H34" i="2"/>
  <c r="F34" i="2"/>
  <c r="H33" i="2"/>
  <c r="F33" i="2"/>
  <c r="H32" i="2"/>
  <c r="F32" i="2"/>
  <c r="H31" i="2"/>
  <c r="F31" i="2"/>
  <c r="H30" i="2"/>
  <c r="F30" i="2"/>
  <c r="H29" i="2"/>
  <c r="F29" i="2"/>
  <c r="H28" i="2"/>
  <c r="F28" i="2"/>
  <c r="H27" i="2"/>
  <c r="F27" i="2"/>
  <c r="H26" i="2"/>
  <c r="F26" i="2"/>
  <c r="H25" i="2"/>
  <c r="F25" i="2"/>
  <c r="H24" i="2"/>
  <c r="F24" i="2"/>
  <c r="H23" i="2"/>
  <c r="F23" i="2"/>
  <c r="H22" i="2"/>
  <c r="F22" i="2"/>
  <c r="H21" i="2"/>
  <c r="F21" i="2"/>
  <c r="H20" i="2"/>
  <c r="F20" i="2"/>
  <c r="H19" i="2"/>
  <c r="F19" i="2"/>
  <c r="H18" i="2"/>
  <c r="F18" i="2"/>
  <c r="H17" i="2"/>
  <c r="F17" i="2"/>
  <c r="H16" i="2"/>
  <c r="F16" i="2"/>
  <c r="H15" i="2"/>
  <c r="F15" i="2"/>
  <c r="H14" i="2"/>
  <c r="F14" i="2"/>
  <c r="H13" i="2"/>
  <c r="F13" i="2"/>
  <c r="H12" i="2"/>
  <c r="F12" i="2"/>
  <c r="H11" i="2"/>
  <c r="F11" i="2"/>
  <c r="H10" i="2"/>
  <c r="F10" i="2"/>
  <c r="H9" i="2"/>
  <c r="F9" i="2"/>
  <c r="H8" i="2"/>
  <c r="F8" i="2"/>
  <c r="H7" i="2"/>
  <c r="F7" i="2"/>
  <c r="F36" i="1"/>
  <c r="D36" i="1"/>
  <c r="G36" i="1" s="1"/>
  <c r="C36" i="1"/>
  <c r="E36" i="1" s="1"/>
  <c r="F35" i="1"/>
  <c r="D35" i="1"/>
  <c r="G35" i="1" s="1"/>
  <c r="C35" i="1"/>
  <c r="E35" i="1" s="1"/>
  <c r="F34" i="1"/>
  <c r="D34" i="1"/>
  <c r="G34" i="1" s="1"/>
  <c r="C34" i="1"/>
  <c r="E34" i="1" s="1"/>
  <c r="F33" i="1"/>
  <c r="D33" i="1"/>
  <c r="G33" i="1" s="1"/>
  <c r="C33" i="1"/>
  <c r="F32" i="1"/>
  <c r="E32" i="1"/>
  <c r="D32" i="1"/>
  <c r="G32" i="1" s="1"/>
  <c r="C32" i="1"/>
  <c r="F31" i="1"/>
  <c r="G31" i="1" s="1"/>
  <c r="D31" i="1"/>
  <c r="C31" i="1"/>
  <c r="E31" i="1" s="1"/>
  <c r="F30" i="1"/>
  <c r="D30" i="1"/>
  <c r="G30" i="1" s="1"/>
  <c r="C30" i="1"/>
  <c r="E30" i="1" s="1"/>
  <c r="F29" i="1"/>
  <c r="D29" i="1"/>
  <c r="G29" i="1" s="1"/>
  <c r="C29" i="1"/>
  <c r="E29" i="1" s="1"/>
  <c r="F28" i="1"/>
  <c r="E28" i="1"/>
  <c r="D28" i="1"/>
  <c r="G28" i="1" s="1"/>
  <c r="C28" i="1"/>
  <c r="F27" i="1"/>
  <c r="D27" i="1"/>
  <c r="G27" i="1" s="1"/>
  <c r="C27" i="1"/>
  <c r="E27" i="1" s="1"/>
  <c r="G26" i="1"/>
  <c r="F26" i="1"/>
  <c r="F37" i="1" s="1"/>
  <c r="D26" i="1"/>
  <c r="D37" i="1" s="1"/>
  <c r="C26" i="1"/>
  <c r="E26" i="1" s="1"/>
  <c r="D22" i="1"/>
  <c r="C22" i="1"/>
  <c r="C21" i="1"/>
  <c r="D21" i="1" s="1"/>
  <c r="D17" i="1"/>
  <c r="B17" i="1"/>
  <c r="B15" i="1"/>
  <c r="B13" i="1"/>
  <c r="T5" i="1"/>
  <c r="T4" i="1"/>
  <c r="G37" i="1" l="1"/>
  <c r="K52" i="4"/>
  <c r="L52" i="4" s="1"/>
  <c r="K72" i="4"/>
  <c r="L72" i="4" s="1"/>
  <c r="K84" i="4"/>
  <c r="L84" i="4" s="1"/>
  <c r="K92" i="4"/>
  <c r="L92" i="4" s="1"/>
  <c r="K104" i="4"/>
  <c r="L104" i="4" s="1"/>
  <c r="K116" i="4"/>
  <c r="L116" i="4" s="1"/>
  <c r="K124" i="4"/>
  <c r="L124" i="4" s="1"/>
  <c r="K136" i="4"/>
  <c r="L136" i="4" s="1"/>
  <c r="K144" i="4"/>
  <c r="L144" i="4" s="1"/>
  <c r="K156" i="4"/>
  <c r="L156" i="4" s="1"/>
  <c r="K168" i="4"/>
  <c r="L168" i="4" s="1"/>
  <c r="K176" i="4"/>
  <c r="L176" i="4" s="1"/>
  <c r="O185" i="4"/>
  <c r="P185" i="4" s="1"/>
  <c r="K187" i="4"/>
  <c r="L187" i="4" s="1"/>
  <c r="K189" i="4"/>
  <c r="L189" i="4" s="1"/>
  <c r="O194" i="4"/>
  <c r="P194" i="4" s="1"/>
  <c r="O203" i="4"/>
  <c r="P203" i="4" s="1"/>
  <c r="O212" i="4"/>
  <c r="P212" i="4" s="1"/>
  <c r="K218" i="4"/>
  <c r="L218" i="4" s="1"/>
  <c r="O223" i="4"/>
  <c r="P223" i="4" s="1"/>
  <c r="O238" i="4"/>
  <c r="P238" i="4" s="1"/>
  <c r="K240" i="4"/>
  <c r="L240" i="4" s="1"/>
  <c r="O245" i="4"/>
  <c r="P245" i="4" s="1"/>
  <c r="K253" i="4"/>
  <c r="L253" i="4" s="1"/>
  <c r="O258" i="4"/>
  <c r="P258" i="4" s="1"/>
  <c r="K260" i="4"/>
  <c r="L260" i="4" s="1"/>
  <c r="K262" i="4"/>
  <c r="L262" i="4" s="1"/>
  <c r="E33" i="1"/>
  <c r="E37" i="1" s="1"/>
  <c r="K14" i="4"/>
  <c r="L14" i="4" s="1"/>
  <c r="O15" i="4"/>
  <c r="P15" i="4" s="1"/>
  <c r="K18" i="4"/>
  <c r="L18" i="4" s="1"/>
  <c r="O19" i="4"/>
  <c r="P19" i="4" s="1"/>
  <c r="K22" i="4"/>
  <c r="L22" i="4" s="1"/>
  <c r="O23" i="4"/>
  <c r="P23" i="4" s="1"/>
  <c r="O31" i="4"/>
  <c r="P31" i="4" s="1"/>
  <c r="K34" i="4"/>
  <c r="L34" i="4" s="1"/>
  <c r="O35" i="4"/>
  <c r="P35" i="4" s="1"/>
  <c r="K38" i="4"/>
  <c r="L38" i="4" s="1"/>
  <c r="O39" i="4"/>
  <c r="P39" i="4" s="1"/>
  <c r="K42" i="4"/>
  <c r="L42" i="4" s="1"/>
  <c r="K49" i="4"/>
  <c r="L49" i="4" s="1"/>
  <c r="O52" i="4"/>
  <c r="P52" i="4" s="1"/>
  <c r="O55" i="4"/>
  <c r="P55" i="4" s="1"/>
  <c r="K57" i="4"/>
  <c r="L57" i="4" s="1"/>
  <c r="O67" i="4"/>
  <c r="P67" i="4" s="1"/>
  <c r="K69" i="4"/>
  <c r="L69" i="4" s="1"/>
  <c r="O72" i="4"/>
  <c r="P72" i="4" s="1"/>
  <c r="O75" i="4"/>
  <c r="P75" i="4" s="1"/>
  <c r="O84" i="4"/>
  <c r="P84" i="4" s="1"/>
  <c r="O87" i="4"/>
  <c r="P87" i="4" s="1"/>
  <c r="K89" i="4"/>
  <c r="L89" i="4" s="1"/>
  <c r="O92" i="4"/>
  <c r="P92" i="4" s="1"/>
  <c r="O99" i="4"/>
  <c r="P99" i="4" s="1"/>
  <c r="K101" i="4"/>
  <c r="L101" i="4" s="1"/>
  <c r="O104" i="4"/>
  <c r="P104" i="4" s="1"/>
  <c r="O107" i="4"/>
  <c r="P107" i="4" s="1"/>
  <c r="K109" i="4"/>
  <c r="L109" i="4" s="1"/>
  <c r="O116" i="4"/>
  <c r="P116" i="4" s="1"/>
  <c r="O119" i="4"/>
  <c r="P119" i="4" s="1"/>
  <c r="K121" i="4"/>
  <c r="L121" i="4" s="1"/>
  <c r="O124" i="4"/>
  <c r="P124" i="4" s="1"/>
  <c r="O127" i="4"/>
  <c r="P127" i="4" s="1"/>
  <c r="K133" i="4"/>
  <c r="L133" i="4" s="1"/>
  <c r="O136" i="4"/>
  <c r="P136" i="4" s="1"/>
  <c r="O139" i="4"/>
  <c r="P139" i="4" s="1"/>
  <c r="K141" i="4"/>
  <c r="L141" i="4" s="1"/>
  <c r="O144" i="4"/>
  <c r="P144" i="4" s="1"/>
  <c r="O151" i="4"/>
  <c r="P151" i="4" s="1"/>
  <c r="K153" i="4"/>
  <c r="L153" i="4" s="1"/>
  <c r="O156" i="4"/>
  <c r="P156" i="4" s="1"/>
  <c r="O159" i="4"/>
  <c r="P159" i="4" s="1"/>
  <c r="K161" i="4"/>
  <c r="L161" i="4" s="1"/>
  <c r="O168" i="4"/>
  <c r="P168" i="4" s="1"/>
  <c r="O171" i="4"/>
  <c r="P171" i="4" s="1"/>
  <c r="K173" i="4"/>
  <c r="L173" i="4" s="1"/>
  <c r="O176" i="4"/>
  <c r="P176" i="4" s="1"/>
  <c r="K178" i="4"/>
  <c r="L178" i="4" s="1"/>
  <c r="O187" i="4"/>
  <c r="P187" i="4" s="1"/>
  <c r="O205" i="4"/>
  <c r="P205" i="4" s="1"/>
  <c r="K207" i="4"/>
  <c r="L207" i="4" s="1"/>
  <c r="K209" i="4"/>
  <c r="L209" i="4" s="1"/>
  <c r="O218" i="4"/>
  <c r="P218" i="4" s="1"/>
  <c r="K220" i="4"/>
  <c r="L220" i="4" s="1"/>
  <c r="O225" i="4"/>
  <c r="P225" i="4" s="1"/>
  <c r="K227" i="4"/>
  <c r="L227" i="4" s="1"/>
  <c r="K229" i="4"/>
  <c r="L229" i="4" s="1"/>
  <c r="O240" i="4"/>
  <c r="P240" i="4" s="1"/>
  <c r="K242" i="4"/>
  <c r="L242" i="4" s="1"/>
  <c r="O260" i="4"/>
  <c r="P260" i="4" s="1"/>
  <c r="C37" i="1"/>
  <c r="K54" i="4"/>
  <c r="L54" i="4" s="1"/>
  <c r="K66" i="4"/>
  <c r="L66" i="4" s="1"/>
  <c r="K74" i="4"/>
  <c r="L74" i="4" s="1"/>
  <c r="K86" i="4"/>
  <c r="L86" i="4" s="1"/>
  <c r="K106" i="4"/>
  <c r="L106" i="4" s="1"/>
  <c r="K118" i="4"/>
  <c r="L118" i="4" s="1"/>
  <c r="K126" i="4"/>
  <c r="L126" i="4" s="1"/>
  <c r="K138" i="4"/>
  <c r="L138" i="4" s="1"/>
  <c r="K150" i="4"/>
  <c r="L150" i="4" s="1"/>
  <c r="K158" i="4"/>
  <c r="L158" i="4" s="1"/>
  <c r="K170" i="4"/>
  <c r="L170" i="4" s="1"/>
  <c r="O178" i="4"/>
  <c r="P178" i="4" s="1"/>
  <c r="K184" i="4"/>
  <c r="L184" i="4" s="1"/>
  <c r="O189" i="4"/>
  <c r="P189" i="4" s="1"/>
  <c r="K191" i="4"/>
  <c r="L191" i="4" s="1"/>
  <c r="K193" i="4"/>
  <c r="L193" i="4" s="1"/>
  <c r="K202" i="4"/>
  <c r="L202" i="4" s="1"/>
  <c r="O207" i="4"/>
  <c r="P207" i="4" s="1"/>
  <c r="O220" i="4"/>
  <c r="P220" i="4" s="1"/>
  <c r="K222" i="4"/>
  <c r="L222" i="4" s="1"/>
  <c r="O227" i="4"/>
  <c r="P227" i="4" s="1"/>
  <c r="K235" i="4"/>
  <c r="L235" i="4" s="1"/>
  <c r="K237" i="4"/>
  <c r="L237" i="4" s="1"/>
  <c r="O242" i="4"/>
  <c r="P242" i="4" s="1"/>
  <c r="K244" i="4"/>
  <c r="L244" i="4" s="1"/>
  <c r="O253" i="4"/>
  <c r="P253" i="4" s="1"/>
  <c r="K255" i="4"/>
  <c r="L255" i="4" s="1"/>
  <c r="K257" i="4"/>
  <c r="L257" i="4" s="1"/>
  <c r="O14" i="4"/>
  <c r="P14" i="4" s="1"/>
  <c r="K17" i="4"/>
  <c r="L17" i="4" s="1"/>
  <c r="O18" i="4"/>
  <c r="P18" i="4" s="1"/>
  <c r="K21" i="4"/>
  <c r="L21" i="4" s="1"/>
  <c r="O22" i="4"/>
  <c r="P22" i="4" s="1"/>
  <c r="K25" i="4"/>
  <c r="L25" i="4" s="1"/>
  <c r="K33" i="4"/>
  <c r="L33" i="4" s="1"/>
  <c r="O34" i="4"/>
  <c r="P34" i="4" s="1"/>
  <c r="K37" i="4"/>
  <c r="L37" i="4" s="1"/>
  <c r="O38" i="4"/>
  <c r="P38" i="4" s="1"/>
  <c r="K41" i="4"/>
  <c r="L41" i="4" s="1"/>
  <c r="O42" i="4"/>
  <c r="P42" i="4" s="1"/>
  <c r="O49" i="4"/>
  <c r="P49" i="4" s="1"/>
  <c r="K51" i="4"/>
  <c r="L51" i="4" s="1"/>
  <c r="O54" i="4"/>
  <c r="P54" i="4" s="1"/>
  <c r="O57" i="4"/>
  <c r="P57" i="4" s="1"/>
  <c r="K59" i="4"/>
  <c r="L59" i="4" s="1"/>
  <c r="O66" i="4"/>
  <c r="P66" i="4" s="1"/>
  <c r="O69" i="4"/>
  <c r="P69" i="4" s="1"/>
  <c r="K71" i="4"/>
  <c r="L71" i="4" s="1"/>
  <c r="O74" i="4"/>
  <c r="P74" i="4" s="1"/>
  <c r="K83" i="4"/>
  <c r="L83" i="4" s="1"/>
  <c r="O86" i="4"/>
  <c r="P86" i="4" s="1"/>
  <c r="O89" i="4"/>
  <c r="P89" i="4" s="1"/>
  <c r="K91" i="4"/>
  <c r="L91" i="4" s="1"/>
  <c r="O101" i="4"/>
  <c r="P101" i="4" s="1"/>
  <c r="K103" i="4"/>
  <c r="L103" i="4" s="1"/>
  <c r="O106" i="4"/>
  <c r="P106" i="4" s="1"/>
  <c r="O109" i="4"/>
  <c r="P109" i="4" s="1"/>
  <c r="O118" i="4"/>
  <c r="P118" i="4" s="1"/>
  <c r="O121" i="4"/>
  <c r="P121" i="4" s="1"/>
  <c r="K123" i="4"/>
  <c r="L123" i="4" s="1"/>
  <c r="O126" i="4"/>
  <c r="P126" i="4" s="1"/>
  <c r="O133" i="4"/>
  <c r="P133" i="4" s="1"/>
  <c r="K135" i="4"/>
  <c r="L135" i="4" s="1"/>
  <c r="O138" i="4"/>
  <c r="P138" i="4" s="1"/>
  <c r="O141" i="4"/>
  <c r="P141" i="4" s="1"/>
  <c r="K143" i="4"/>
  <c r="L143" i="4" s="1"/>
  <c r="O150" i="4"/>
  <c r="P150" i="4" s="1"/>
  <c r="O153" i="4"/>
  <c r="P153" i="4" s="1"/>
  <c r="K155" i="4"/>
  <c r="L155" i="4" s="1"/>
  <c r="O158" i="4"/>
  <c r="P158" i="4" s="1"/>
  <c r="O161" i="4"/>
  <c r="P161" i="4" s="1"/>
  <c r="K167" i="4"/>
  <c r="L167" i="4" s="1"/>
  <c r="O170" i="4"/>
  <c r="P170" i="4" s="1"/>
  <c r="O173" i="4"/>
  <c r="P173" i="4" s="1"/>
  <c r="K175" i="4"/>
  <c r="L175" i="4" s="1"/>
  <c r="O184" i="4"/>
  <c r="P184" i="4" s="1"/>
  <c r="K186" i="4"/>
  <c r="L186" i="4" s="1"/>
  <c r="O191" i="4"/>
  <c r="P191" i="4" s="1"/>
  <c r="O202" i="4"/>
  <c r="P202" i="4" s="1"/>
  <c r="K204" i="4"/>
  <c r="L204" i="4" s="1"/>
  <c r="O209" i="4"/>
  <c r="P209" i="4" s="1"/>
  <c r="K211" i="4"/>
  <c r="L211" i="4" s="1"/>
  <c r="O222" i="4"/>
  <c r="P222" i="4" s="1"/>
  <c r="K224" i="4"/>
  <c r="L224" i="4" s="1"/>
  <c r="O229" i="4"/>
  <c r="P229" i="4" s="1"/>
  <c r="O235" i="4"/>
  <c r="P235" i="4" s="1"/>
  <c r="O244" i="4"/>
  <c r="P244" i="4" s="1"/>
  <c r="K246" i="4"/>
  <c r="L246" i="4" s="1"/>
  <c r="O255" i="4"/>
  <c r="P255" i="4" s="1"/>
  <c r="K48" i="4"/>
  <c r="L48" i="4" s="1"/>
  <c r="K56" i="4"/>
  <c r="L56" i="4" s="1"/>
  <c r="K68" i="4"/>
  <c r="L68" i="4" s="1"/>
  <c r="K76" i="4"/>
  <c r="L76" i="4" s="1"/>
  <c r="K88" i="4"/>
  <c r="L88" i="4" s="1"/>
  <c r="K100" i="4"/>
  <c r="L100" i="4" s="1"/>
  <c r="K108" i="4"/>
  <c r="L108" i="4" s="1"/>
  <c r="K120" i="4"/>
  <c r="L120" i="4" s="1"/>
  <c r="K140" i="4"/>
  <c r="L140" i="4" s="1"/>
  <c r="K152" i="4"/>
  <c r="L152" i="4" s="1"/>
  <c r="K160" i="4"/>
  <c r="L160" i="4" s="1"/>
  <c r="K172" i="4"/>
  <c r="L172" i="4" s="1"/>
  <c r="K177" i="4"/>
  <c r="L177" i="4" s="1"/>
  <c r="O186" i="4"/>
  <c r="P186" i="4" s="1"/>
  <c r="K188" i="4"/>
  <c r="L188" i="4" s="1"/>
  <c r="O193" i="4"/>
  <c r="P193" i="4" s="1"/>
  <c r="K195" i="4"/>
  <c r="L195" i="4" s="1"/>
  <c r="O204" i="4"/>
  <c r="P204" i="4" s="1"/>
  <c r="K206" i="4"/>
  <c r="L206" i="4" s="1"/>
  <c r="O211" i="4"/>
  <c r="P211" i="4" s="1"/>
  <c r="O224" i="4"/>
  <c r="P224" i="4" s="1"/>
  <c r="K226" i="4"/>
  <c r="L226" i="4" s="1"/>
  <c r="O237" i="4"/>
  <c r="P237" i="4" s="1"/>
  <c r="K239" i="4"/>
  <c r="L239" i="4" s="1"/>
  <c r="K241" i="4"/>
  <c r="L241" i="4" s="1"/>
  <c r="O246" i="4"/>
  <c r="P246" i="4" s="1"/>
  <c r="K252" i="4"/>
  <c r="L252" i="4" s="1"/>
  <c r="O257" i="4"/>
  <c r="P257" i="4" s="1"/>
  <c r="K259" i="4"/>
  <c r="L259" i="4" s="1"/>
  <c r="K263" i="4"/>
  <c r="L263" i="4" s="1"/>
  <c r="O261" i="4"/>
  <c r="P261" i="4" s="1"/>
  <c r="O262" i="4"/>
  <c r="P262" i="4" s="1"/>
  <c r="O263" i="4"/>
  <c r="P263" i="4" s="1"/>
  <c r="K16" i="4"/>
  <c r="L16" i="4" s="1"/>
  <c r="O17" i="4"/>
  <c r="P17" i="4" s="1"/>
  <c r="K20" i="4"/>
  <c r="L20" i="4" s="1"/>
  <c r="O21" i="4"/>
  <c r="P21" i="4" s="1"/>
  <c r="K24" i="4"/>
  <c r="L24" i="4" s="1"/>
  <c r="O25" i="4"/>
  <c r="P25" i="4" s="1"/>
  <c r="K32" i="4"/>
  <c r="L32" i="4" s="1"/>
  <c r="O33" i="4"/>
  <c r="P33" i="4" s="1"/>
  <c r="K36" i="4"/>
  <c r="L36" i="4" s="1"/>
  <c r="O37" i="4"/>
  <c r="P37" i="4" s="1"/>
  <c r="K40" i="4"/>
  <c r="L40" i="4" s="1"/>
  <c r="O41" i="4"/>
  <c r="P41" i="4" s="1"/>
  <c r="O48" i="4"/>
  <c r="P48" i="4" s="1"/>
  <c r="O51" i="4"/>
  <c r="P51" i="4" s="1"/>
  <c r="K53" i="4"/>
  <c r="L53" i="4" s="1"/>
  <c r="O56" i="4"/>
  <c r="P56" i="4" s="1"/>
  <c r="O59" i="4"/>
  <c r="P59" i="4" s="1"/>
  <c r="K65" i="4"/>
  <c r="L65" i="4" s="1"/>
  <c r="O68" i="4"/>
  <c r="P68" i="4" s="1"/>
  <c r="O71" i="4"/>
  <c r="P71" i="4" s="1"/>
  <c r="K73" i="4"/>
  <c r="L73" i="4" s="1"/>
  <c r="O76" i="4"/>
  <c r="P76" i="4" s="1"/>
  <c r="O83" i="4"/>
  <c r="P83" i="4" s="1"/>
  <c r="K85" i="4"/>
  <c r="L85" i="4" s="1"/>
  <c r="O88" i="4"/>
  <c r="P88" i="4" s="1"/>
  <c r="O91" i="4"/>
  <c r="P91" i="4" s="1"/>
  <c r="K93" i="4"/>
  <c r="L93" i="4" s="1"/>
  <c r="O100" i="4"/>
  <c r="P100" i="4" s="1"/>
  <c r="O103" i="4"/>
  <c r="P103" i="4" s="1"/>
  <c r="K105" i="4"/>
  <c r="L105" i="4" s="1"/>
  <c r="O108" i="4"/>
  <c r="P108" i="4" s="1"/>
  <c r="K117" i="4"/>
  <c r="L117" i="4" s="1"/>
  <c r="O120" i="4"/>
  <c r="P120" i="4" s="1"/>
  <c r="O123" i="4"/>
  <c r="P123" i="4" s="1"/>
  <c r="K125" i="4"/>
  <c r="L125" i="4" s="1"/>
  <c r="O135" i="4"/>
  <c r="P135" i="4" s="1"/>
  <c r="K137" i="4"/>
  <c r="L137" i="4" s="1"/>
  <c r="O140" i="4"/>
  <c r="P140" i="4" s="1"/>
  <c r="O143" i="4"/>
  <c r="P143" i="4" s="1"/>
  <c r="O152" i="4"/>
  <c r="P152" i="4" s="1"/>
  <c r="O155" i="4"/>
  <c r="P155" i="4" s="1"/>
  <c r="K157" i="4"/>
  <c r="L157" i="4" s="1"/>
  <c r="O160" i="4"/>
  <c r="P160" i="4" s="1"/>
  <c r="O167" i="4"/>
  <c r="P167" i="4" s="1"/>
  <c r="K169" i="4"/>
  <c r="L169" i="4" s="1"/>
  <c r="O172" i="4"/>
  <c r="P172" i="4" s="1"/>
  <c r="O175" i="4"/>
  <c r="P175" i="4" s="1"/>
  <c r="O188" i="4"/>
  <c r="P188" i="4" s="1"/>
  <c r="K190" i="4"/>
  <c r="L190" i="4" s="1"/>
  <c r="O195" i="4"/>
  <c r="P195" i="4" s="1"/>
  <c r="K201" i="4"/>
  <c r="L201" i="4" s="1"/>
  <c r="O206" i="4"/>
  <c r="P206" i="4" s="1"/>
  <c r="K208" i="4"/>
  <c r="L208" i="4" s="1"/>
  <c r="K219" i="4"/>
  <c r="L219" i="4" s="1"/>
  <c r="K221" i="4"/>
  <c r="L221" i="4" s="1"/>
  <c r="O226" i="4"/>
  <c r="P226" i="4" s="1"/>
  <c r="K228" i="4"/>
  <c r="L228" i="4" s="1"/>
  <c r="O239" i="4"/>
  <c r="P239" i="4" s="1"/>
  <c r="O252" i="4"/>
  <c r="P252" i="4" s="1"/>
  <c r="K254" i="4"/>
  <c r="L254" i="4" s="1"/>
  <c r="O259" i="4"/>
  <c r="P259" i="4" s="1"/>
  <c r="K50" i="4"/>
  <c r="L50" i="4" s="1"/>
  <c r="K58" i="4"/>
  <c r="L58" i="4" s="1"/>
  <c r="K70" i="4"/>
  <c r="L70" i="4" s="1"/>
  <c r="K82" i="4"/>
  <c r="L82" i="4" s="1"/>
  <c r="K90" i="4"/>
  <c r="L90" i="4" s="1"/>
  <c r="K102" i="4"/>
  <c r="L102" i="4" s="1"/>
  <c r="K110" i="4"/>
  <c r="L110" i="4" s="1"/>
  <c r="K122" i="4"/>
  <c r="L122" i="4" s="1"/>
  <c r="K134" i="4"/>
  <c r="L134" i="4" s="1"/>
  <c r="K142" i="4"/>
  <c r="L142" i="4" s="1"/>
  <c r="K154" i="4"/>
  <c r="L154" i="4" s="1"/>
  <c r="K174" i="4"/>
  <c r="L174" i="4" s="1"/>
  <c r="O177" i="4"/>
  <c r="P177" i="4" s="1"/>
  <c r="K185" i="4"/>
  <c r="L185" i="4" s="1"/>
  <c r="O190" i="4"/>
  <c r="P190" i="4" s="1"/>
  <c r="K192" i="4"/>
  <c r="L192" i="4" s="1"/>
  <c r="O208" i="4"/>
  <c r="P208" i="4" s="1"/>
  <c r="K210" i="4"/>
  <c r="L210" i="4" s="1"/>
  <c r="O219" i="4"/>
  <c r="P219" i="4" s="1"/>
  <c r="O228" i="4"/>
  <c r="P228" i="4" s="1"/>
  <c r="K236" i="4"/>
  <c r="L236" i="4" s="1"/>
  <c r="O241" i="4"/>
  <c r="P241" i="4" s="1"/>
  <c r="K243" i="4"/>
  <c r="L243" i="4" s="1"/>
  <c r="K245" i="4"/>
  <c r="L245" i="4" s="1"/>
  <c r="O254" i="4"/>
  <c r="P254" i="4" s="1"/>
  <c r="K256" i="4"/>
  <c r="L256" i="4" s="1"/>
  <c r="K15" i="4"/>
  <c r="L15" i="4" s="1"/>
  <c r="O16" i="4"/>
  <c r="P16" i="4" s="1"/>
  <c r="K19" i="4"/>
  <c r="L19" i="4" s="1"/>
  <c r="O20" i="4"/>
  <c r="P20" i="4" s="1"/>
  <c r="K23" i="4"/>
  <c r="L23" i="4" s="1"/>
  <c r="O24" i="4"/>
  <c r="P24" i="4" s="1"/>
  <c r="K31" i="4"/>
  <c r="L31" i="4" s="1"/>
  <c r="O32" i="4"/>
  <c r="P32" i="4" s="1"/>
  <c r="K35" i="4"/>
  <c r="L35" i="4" s="1"/>
  <c r="O36" i="4"/>
  <c r="P36" i="4" s="1"/>
  <c r="K39" i="4"/>
  <c r="L39" i="4" s="1"/>
  <c r="O40" i="4"/>
  <c r="P40" i="4" s="1"/>
  <c r="O50" i="4"/>
  <c r="P50" i="4" s="1"/>
  <c r="O53" i="4"/>
  <c r="P53" i="4" s="1"/>
  <c r="K55" i="4"/>
  <c r="L55" i="4" s="1"/>
  <c r="O58" i="4"/>
  <c r="P58" i="4" s="1"/>
  <c r="O65" i="4"/>
  <c r="P65" i="4" s="1"/>
  <c r="K67" i="4"/>
  <c r="L67" i="4" s="1"/>
  <c r="O70" i="4"/>
  <c r="P70" i="4" s="1"/>
  <c r="O73" i="4"/>
  <c r="P73" i="4" s="1"/>
  <c r="K75" i="4"/>
  <c r="L75" i="4" s="1"/>
  <c r="O82" i="4"/>
  <c r="P82" i="4" s="1"/>
  <c r="O85" i="4"/>
  <c r="P85" i="4" s="1"/>
  <c r="K87" i="4"/>
  <c r="L87" i="4" s="1"/>
  <c r="O90" i="4"/>
  <c r="P90" i="4" s="1"/>
  <c r="O93" i="4"/>
  <c r="P93" i="4" s="1"/>
  <c r="K99" i="4"/>
  <c r="L99" i="4" s="1"/>
  <c r="O102" i="4"/>
  <c r="P102" i="4" s="1"/>
  <c r="O105" i="4"/>
  <c r="P105" i="4" s="1"/>
  <c r="K107" i="4"/>
  <c r="L107" i="4" s="1"/>
  <c r="O110" i="4"/>
  <c r="P110" i="4" s="1"/>
  <c r="O117" i="4"/>
  <c r="P117" i="4" s="1"/>
  <c r="K119" i="4"/>
  <c r="L119" i="4" s="1"/>
  <c r="O122" i="4"/>
  <c r="P122" i="4" s="1"/>
  <c r="O125" i="4"/>
  <c r="P125" i="4" s="1"/>
  <c r="K127" i="4"/>
  <c r="L127" i="4" s="1"/>
  <c r="O134" i="4"/>
  <c r="P134" i="4" s="1"/>
  <c r="O137" i="4"/>
  <c r="P137" i="4" s="1"/>
  <c r="K139" i="4"/>
  <c r="L139" i="4" s="1"/>
  <c r="O142" i="4"/>
  <c r="P142" i="4" s="1"/>
  <c r="K151" i="4"/>
  <c r="L151" i="4" s="1"/>
  <c r="O154" i="4"/>
  <c r="P154" i="4" s="1"/>
  <c r="O157" i="4"/>
  <c r="P157" i="4" s="1"/>
  <c r="K159" i="4"/>
  <c r="L159" i="4" s="1"/>
  <c r="O169" i="4"/>
  <c r="P169" i="4" s="1"/>
  <c r="K171" i="4"/>
  <c r="L171" i="4" s="1"/>
  <c r="O174" i="4"/>
  <c r="P174" i="4" s="1"/>
  <c r="O192" i="4"/>
  <c r="P192" i="4" s="1"/>
  <c r="K194" i="4"/>
  <c r="L194" i="4" s="1"/>
  <c r="O201" i="4"/>
  <c r="P201" i="4" s="1"/>
  <c r="K203" i="4"/>
  <c r="L203" i="4" s="1"/>
  <c r="K205" i="4"/>
  <c r="L205" i="4" s="1"/>
  <c r="O210" i="4"/>
  <c r="P210" i="4" s="1"/>
  <c r="K212" i="4"/>
  <c r="L212" i="4" s="1"/>
  <c r="O221" i="4"/>
  <c r="P221" i="4" s="1"/>
  <c r="K223" i="4"/>
  <c r="L223" i="4" s="1"/>
  <c r="K225" i="4"/>
  <c r="L225" i="4" s="1"/>
  <c r="O236" i="4"/>
  <c r="P236" i="4" s="1"/>
  <c r="K238" i="4"/>
  <c r="L238" i="4" s="1"/>
  <c r="O243" i="4"/>
  <c r="P243" i="4" s="1"/>
  <c r="O256" i="4"/>
  <c r="P256" i="4" s="1"/>
  <c r="K258" i="4"/>
  <c r="L258" i="4" s="1"/>
</calcChain>
</file>

<file path=xl/sharedStrings.xml><?xml version="1.0" encoding="utf-8"?>
<sst xmlns="http://schemas.openxmlformats.org/spreadsheetml/2006/main" count="543" uniqueCount="218">
  <si>
    <t>Hochzeits-Planer</t>
  </si>
  <si>
    <t>Budget-Check</t>
  </si>
  <si>
    <t>Klarheit für euer Budget. 
Freude an eurem großen Tag.</t>
  </si>
  <si>
    <t>Freies Budget</t>
  </si>
  <si>
    <t>Tatsächliche Kosten</t>
  </si>
  <si>
    <t>AUF EINEN BLICK</t>
  </si>
  <si>
    <t>GESAMTBUDGET</t>
  </si>
  <si>
    <t>VERFÜGBARES BUDGET</t>
  </si>
  <si>
    <t>TATSÄCHLICHE KOSTEN</t>
  </si>
  <si>
    <t>BEREITS BEZAHLT</t>
  </si>
  <si>
    <t>NOCH OFFEN (ZU BEZAHLEN)</t>
  </si>
  <si>
    <t>FORTSCHRITT</t>
  </si>
  <si>
    <t>Budget-Auslastung</t>
  </si>
  <si>
    <t>Zahlungsstand</t>
  </si>
  <si>
    <t>KOSTEN NACH KATEGORIE</t>
  </si>
  <si>
    <t>Kategorie</t>
  </si>
  <si>
    <t>Geplant</t>
  </si>
  <si>
    <t>Tatsächlich</t>
  </si>
  <si>
    <t>Differenz</t>
  </si>
  <si>
    <t>Bezahlt</t>
  </si>
  <si>
    <t>Offen</t>
  </si>
  <si>
    <t>Location &amp; Feier</t>
  </si>
  <si>
    <t>Location</t>
  </si>
  <si>
    <t>Kleidung &amp; Beauty</t>
  </si>
  <si>
    <t>Kleidung</t>
  </si>
  <si>
    <t>Ringe &amp; Schmuck</t>
  </si>
  <si>
    <t>Ringe</t>
  </si>
  <si>
    <t>Foto &amp; Video</t>
  </si>
  <si>
    <t>Foto/Video</t>
  </si>
  <si>
    <t>Musik &amp; Unterhaltung</t>
  </si>
  <si>
    <t>Musik</t>
  </si>
  <si>
    <t>Blumen &amp; Deko</t>
  </si>
  <si>
    <t>Blumen/Deko</t>
  </si>
  <si>
    <t>Papeterie</t>
  </si>
  <si>
    <t>Trauung</t>
  </si>
  <si>
    <t>Transport &amp; Übernachtung</t>
  </si>
  <si>
    <t>Transport</t>
  </si>
  <si>
    <t>Flitterwochen</t>
  </si>
  <si>
    <t>Sonstiges</t>
  </si>
  <si>
    <t>Gesamt</t>
  </si>
  <si>
    <t xml:space="preserve">Budgetplaner </t>
  </si>
  <si>
    <t xml:space="preserve">Trage dein geplantes Budget ein (Spalte D) und ergänze die tatsächlichen Kosten (Spalte E), sobald dir klar wird, wie hoch die Rechnung tatsächlich ist. </t>
  </si>
  <si>
    <t>⚠️  Nur die Türkis hinterlegten Felder verändern → alles andere wird automatisch berechnet!</t>
  </si>
  <si>
    <t>Position</t>
  </si>
  <si>
    <t>Budget</t>
  </si>
  <si>
    <t>Fällig am</t>
  </si>
  <si>
    <t>Anbieter</t>
  </si>
  <si>
    <t>Status</t>
  </si>
  <si>
    <t>Notiz</t>
  </si>
  <si>
    <t>Location-Miete</t>
  </si>
  <si>
    <t>Gut Sonnenhof</t>
  </si>
  <si>
    <t>Gebucht</t>
  </si>
  <si>
    <t>Catering / Menü</t>
  </si>
  <si>
    <t>Genuss Catering</t>
  </si>
  <si>
    <t>Getränke</t>
  </si>
  <si>
    <t>Hochzeitstorte</t>
  </si>
  <si>
    <t>Tortenfantasie</t>
  </si>
  <si>
    <t>Servicepersonal</t>
  </si>
  <si>
    <t>Brautkleid</t>
  </si>
  <si>
    <t>Braut &amp; Glück</t>
  </si>
  <si>
    <t>Anzug Bräutigam</t>
  </si>
  <si>
    <t>Schuhe (Paar)</t>
  </si>
  <si>
    <t>Accessoires &amp; Schleier</t>
  </si>
  <si>
    <t>Hair &amp; Make-up</t>
  </si>
  <si>
    <t>Styling-Probetermin</t>
  </si>
  <si>
    <t>Eheringe</t>
  </si>
  <si>
    <t>Goldschmiede Klein</t>
  </si>
  <si>
    <t>Schmuck Braut</t>
  </si>
  <si>
    <t>Fotograf:in</t>
  </si>
  <si>
    <t>Lichtblick Fotografie</t>
  </si>
  <si>
    <t>Videograf:in</t>
  </si>
  <si>
    <t>Fotobox</t>
  </si>
  <si>
    <t>DJ / Band</t>
  </si>
  <si>
    <t>DJ Marco</t>
  </si>
  <si>
    <t>Musik Trauung</t>
  </si>
  <si>
    <t>Programm &amp; Spiele</t>
  </si>
  <si>
    <t>In Planung</t>
  </si>
  <si>
    <t>Brautstrauß</t>
  </si>
  <si>
    <t>Tischdeko</t>
  </si>
  <si>
    <t>Blumenschmuck Location</t>
  </si>
  <si>
    <t>Kerzen &amp; Accessoires</t>
  </si>
  <si>
    <t>Save the Date</t>
  </si>
  <si>
    <t>Einladungen</t>
  </si>
  <si>
    <t>Menü- &amp; Tischkarten</t>
  </si>
  <si>
    <t>Danksagungen</t>
  </si>
  <si>
    <t>Standesamt-Gebühren</t>
  </si>
  <si>
    <t>Freie Trauung / Redner:in</t>
  </si>
  <si>
    <t>Kirchliche Trauung</t>
  </si>
  <si>
    <t>Hochzeitsauto</t>
  </si>
  <si>
    <t>Gäste-Shuttle</t>
  </si>
  <si>
    <t>Übernachtung Brautpaar</t>
  </si>
  <si>
    <t>Reise</t>
  </si>
  <si>
    <t>Ausflüge &amp; Extras</t>
  </si>
  <si>
    <t>Trauzeugen-Geschenke</t>
  </si>
  <si>
    <t>Gastgeschenke</t>
  </si>
  <si>
    <t>Puffer / Notgroschen</t>
  </si>
  <si>
    <t>Hochzeits-Checkliste  ·  Schritt für Schritt den großen Tag organisieren</t>
  </si>
  <si>
    <t>Setze den Status auf „Erledigt“, sobald ein Punkt abgehakt ist.</t>
  </si>
  <si>
    <t>Fortschritt</t>
  </si>
  <si>
    <t>Aufgabe</t>
  </si>
  <si>
    <t>Zeitraum</t>
  </si>
  <si>
    <t>Zuständig</t>
  </si>
  <si>
    <t>12+ Monate vorher</t>
  </si>
  <si>
    <t>Gemeinsames Budget festlegen</t>
  </si>
  <si>
    <t>Grobe Gästeliste erstellen</t>
  </si>
  <si>
    <t>Wunschtermin &amp; Jahreszeit wählen</t>
  </si>
  <si>
    <t>Hochzeitsstil / Motto festlegen</t>
  </si>
  <si>
    <t>Location-Ideen recherchieren</t>
  </si>
  <si>
    <t>9–12 Monate vorher</t>
  </si>
  <si>
    <t>Location buchen</t>
  </si>
  <si>
    <t>Standesamt-Termin sichern</t>
  </si>
  <si>
    <t>Trauredner:in / Kirche klären</t>
  </si>
  <si>
    <t>Fotograf:in anfragen</t>
  </si>
  <si>
    <t>Catering anfragen</t>
  </si>
  <si>
    <t>6–9 Monate vorher</t>
  </si>
  <si>
    <t>Brautkleid &amp; Anzug suchen</t>
  </si>
  <si>
    <t>Eheringe aussuchen</t>
  </si>
  <si>
    <t>DJ / Band buchen</t>
  </si>
  <si>
    <t>Save-the-Date versenden</t>
  </si>
  <si>
    <t>Flitterwochen planen</t>
  </si>
  <si>
    <t>3–6 Monate vorher</t>
  </si>
  <si>
    <t>Einladungen gestalten &amp; versenden</t>
  </si>
  <si>
    <t>Menü &amp; Getränke abstimmen</t>
  </si>
  <si>
    <t>Deko &amp; Blumen planen</t>
  </si>
  <si>
    <t>Hochzeitstorte bestellen</t>
  </si>
  <si>
    <t>Trauzeugen &amp; Reden klären</t>
  </si>
  <si>
    <t>1–3 Monate vorher</t>
  </si>
  <si>
    <t>Sitzplan erstellen</t>
  </si>
  <si>
    <t>Ablaufplan festlegen</t>
  </si>
  <si>
    <t>Eheringe abholen</t>
  </si>
  <si>
    <t>Musik für die Trauung festlegen</t>
  </si>
  <si>
    <t>Probetermin Hair &amp; Make-up</t>
  </si>
  <si>
    <t>4 Wochen vorher</t>
  </si>
  <si>
    <t>Restzahlungen einplanen</t>
  </si>
  <si>
    <t>Finale Gästezahl an Catering</t>
  </si>
  <si>
    <t>Kleider-Anprobe final</t>
  </si>
  <si>
    <t>Tagesablauf an Dienstleister senden</t>
  </si>
  <si>
    <t>1 Woche vorher</t>
  </si>
  <si>
    <t>Ringe &amp; Dokumente bereitlegen</t>
  </si>
  <si>
    <t>Notfalltäschchen packen</t>
  </si>
  <si>
    <t>Dienstleister bestätigen</t>
  </si>
  <si>
    <t>Zeitpuffer &amp; Notfallkontakte klären</t>
  </si>
  <si>
    <t>Am Hochzeitstag</t>
  </si>
  <si>
    <t>Genießen &amp; präsent sein</t>
  </si>
  <si>
    <t>Trauzeugin als Ansprechpartnerin</t>
  </si>
  <si>
    <t>Fotoliste an Fotograf:in geben</t>
  </si>
  <si>
    <t>Nach der Hochzeit</t>
  </si>
  <si>
    <t>Danksagungen versenden</t>
  </si>
  <si>
    <t>Namensänderung &amp; Behörden</t>
  </si>
  <si>
    <t>Fotos sichten &amp; Album bestellen</t>
  </si>
  <si>
    <t>Dienstleister bewerten</t>
  </si>
  <si>
    <t>Gästeliste  ·  wer feiert mit?</t>
  </si>
  <si>
    <t>Sitzplan  ·  wer sitzt wo?</t>
  </si>
  <si>
    <t>Trage unten eure Gäste ein. 
Die Übersicht darüber zählt automatisch Personen, Zusagen und Absagen.</t>
  </si>
  <si>
    <t>Tisch per Dropdown in Spalte „Tisch“ wählen (1–30) – die Gäste erscheinen automatisch am Tisch.
Nur die Kapazität je Tisch anpassen: helle Türkis-Felder.</t>
  </si>
  <si>
    <t>PERSONEN EINGELADEN</t>
  </si>
  <si>
    <t>ZUGESAGT</t>
  </si>
  <si>
    <t>ABGESAGT</t>
  </si>
  <si>
    <t>NOCH OFFEN</t>
  </si>
  <si>
    <t>PLÄTZE GESAMT</t>
  </si>
  <si>
    <t>ZUGETEILT</t>
  </si>
  <si>
    <t>NOCH FREI</t>
  </si>
  <si>
    <t>OHNE TISCH</t>
  </si>
  <si>
    <t>Name</t>
  </si>
  <si>
    <t>Personen</t>
  </si>
  <si>
    <t>Seite</t>
  </si>
  <si>
    <t>Menü / Allergien</t>
  </si>
  <si>
    <t>Tisch</t>
  </si>
  <si>
    <t>Sitzplatz</t>
  </si>
  <si>
    <t>Tischorganisation</t>
  </si>
  <si>
    <t>Familie Müller</t>
  </si>
  <si>
    <t>Braut</t>
  </si>
  <si>
    <t>Zugesagt</t>
  </si>
  <si>
    <t>vegetarisch</t>
  </si>
  <si>
    <t>Übernachtungsmöglichkeit einplanen</t>
  </si>
  <si>
    <t>TISCH 1</t>
  </si>
  <si>
    <t>TISCH 2</t>
  </si>
  <si>
    <t>Anna &amp; Tim</t>
  </si>
  <si>
    <t>KAPAZITÄT</t>
  </si>
  <si>
    <t>FREI</t>
  </si>
  <si>
    <t>Oma Grete</t>
  </si>
  <si>
    <t>glutenfrei</t>
  </si>
  <si>
    <t>braucht Fahrdienst</t>
  </si>
  <si>
    <t>Familie Schmidt</t>
  </si>
  <si>
    <t>Bräutigam</t>
  </si>
  <si>
    <t>Pers.</t>
  </si>
  <si>
    <t>Lisa Berger</t>
  </si>
  <si>
    <t>Gemeinsam</t>
  </si>
  <si>
    <t>Abgesagt</t>
  </si>
  <si>
    <t>TISCH 3</t>
  </si>
  <si>
    <t>TISCH 4</t>
  </si>
  <si>
    <t>TISCH 5</t>
  </si>
  <si>
    <t>TISCH 6</t>
  </si>
  <si>
    <t>TISCH 7</t>
  </si>
  <si>
    <t>TISCH 8</t>
  </si>
  <si>
    <t>TISCH 9</t>
  </si>
  <si>
    <t>TISCH 10</t>
  </si>
  <si>
    <t>TISCH 11</t>
  </si>
  <si>
    <t>TISCH 12</t>
  </si>
  <si>
    <t>TISCH 13</t>
  </si>
  <si>
    <t>TISCH 14</t>
  </si>
  <si>
    <t>TISCH 15</t>
  </si>
  <si>
    <t>TISCH 16</t>
  </si>
  <si>
    <t>TISCH 17</t>
  </si>
  <si>
    <t>TISCH 18</t>
  </si>
  <si>
    <t>TISCH 19</t>
  </si>
  <si>
    <t>TISCH 20</t>
  </si>
  <si>
    <t>TISCH 21</t>
  </si>
  <si>
    <t>TISCH 22</t>
  </si>
  <si>
    <t>TISCH 23</t>
  </si>
  <si>
    <t>TISCH 24</t>
  </si>
  <si>
    <t>TISCH 25</t>
  </si>
  <si>
    <t>TISCH 26</t>
  </si>
  <si>
    <t>TISCH 27</t>
  </si>
  <si>
    <t>TISCH 28</t>
  </si>
  <si>
    <t>TISCH 29</t>
  </si>
  <si>
    <t>TISCH 30</t>
  </si>
  <si>
    <r>
      <t xml:space="preserve">Diese Übersicht rechnet sich automatisch. 
Bitte einfach ansehen, </t>
    </r>
    <r>
      <rPr>
        <u/>
        <sz val="14"/>
        <color theme="0"/>
        <rFont val="Calibri"/>
        <family val="2"/>
      </rPr>
      <t>nichts ändern.</t>
    </r>
    <r>
      <rPr>
        <sz val="14"/>
        <color theme="0"/>
        <rFont val="Calibri"/>
        <family val="2"/>
        <charset val="1"/>
      </rPr>
      <t xml:space="preserve">
→ Deine Zahlen pflegst du im Reiter „Budgetplaner".
→ Deine Hochzeits-Organisation im Reiter "Checkliste"
→ Deine Gäste- &amp; Tischorganisation im Reiter "Gästeliste"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</si>
</sst>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€&quot;"/>
    <numFmt numFmtId="165" formatCode="#,##0&quot; €&quot;"/>
    <numFmt numFmtId="166" formatCode="0\ %"/>
    <numFmt numFmtId="167" formatCode=";;;"/>
    <numFmt numFmtId="168" formatCode="dd\.mm\.yyyy"/>
  </numFmts>
  <fonts count="48" x14ac:knownFonts="1">
    <font>
      <sz val="11"/>
      <color theme="1"/>
      <name val="Calibri"/>
      <family val="2"/>
      <charset val="1"/>
    </font>
    <font>
      <b/>
      <sz val="40"/>
      <color rgb="FF143371"/>
      <name val="Calibri"/>
      <family val="2"/>
      <charset val="1"/>
    </font>
    <font>
      <sz val="8"/>
      <color rgb="FFFFFFFF"/>
      <name val="Calibri"/>
      <family val="2"/>
      <charset val="1"/>
    </font>
    <font>
      <i/>
      <sz val="14"/>
      <color rgb="FFE9974A"/>
      <name val="Calibri"/>
      <family val="2"/>
      <charset val="1"/>
    </font>
    <font>
      <sz val="9"/>
      <color rgb="FFFFFFFF"/>
      <name val="Calibri"/>
      <family val="2"/>
      <charset val="1"/>
    </font>
    <font>
      <i/>
      <sz val="12.5"/>
      <color rgb="FF0CB8AE"/>
      <name val="Calibri"/>
      <family val="2"/>
      <charset val="1"/>
    </font>
    <font>
      <sz val="9"/>
      <color rgb="FFDFF9F6"/>
      <name val="Calibri"/>
      <family val="2"/>
      <charset val="1"/>
    </font>
    <font>
      <sz val="12"/>
      <color theme="0"/>
      <name val="Calibri"/>
      <family val="2"/>
      <charset val="1"/>
    </font>
    <font>
      <sz val="10.5"/>
      <color theme="0"/>
      <name val="Calibri"/>
      <family val="2"/>
      <charset val="1"/>
    </font>
    <font>
      <b/>
      <sz val="14"/>
      <color rgb="FF0CB8AE"/>
      <name val="Calibri"/>
      <family val="2"/>
      <charset val="1"/>
    </font>
    <font>
      <b/>
      <sz val="10"/>
      <color rgb="FF002060"/>
      <name val="Calibri"/>
      <family val="2"/>
      <charset val="1"/>
    </font>
    <font>
      <b/>
      <sz val="24"/>
      <color rgb="FF143371"/>
      <name val="Calibri"/>
      <family val="2"/>
      <charset val="1"/>
    </font>
    <font>
      <b/>
      <sz val="12"/>
      <color theme="0"/>
      <name val="Calibri"/>
      <family val="2"/>
      <charset val="1"/>
    </font>
    <font>
      <b/>
      <sz val="12"/>
      <color rgb="FFE9974A"/>
      <name val="Calibri"/>
      <family val="2"/>
      <charset val="1"/>
    </font>
    <font>
      <b/>
      <sz val="18"/>
      <color theme="0"/>
      <name val="Calibri"/>
      <family val="2"/>
      <charset val="1"/>
    </font>
    <font>
      <b/>
      <sz val="18"/>
      <color rgb="FFE9974A"/>
      <name val="Calibri"/>
      <family val="2"/>
      <charset val="1"/>
    </font>
    <font>
      <b/>
      <sz val="12"/>
      <color rgb="FF6E7A79"/>
      <name val="Calibri"/>
      <family val="2"/>
      <charset val="1"/>
    </font>
    <font>
      <b/>
      <sz val="16"/>
      <color rgb="FF6E7A79"/>
      <name val="Calibri"/>
      <family val="2"/>
      <charset val="1"/>
    </font>
    <font>
      <sz val="12"/>
      <color rgb="FF1F2A2A"/>
      <name val="Calibri"/>
      <family val="2"/>
      <charset val="1"/>
    </font>
    <font>
      <b/>
      <sz val="12"/>
      <color rgb="FF0CB8AE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rgb="FF1D52AC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1"/>
      <color rgb="FF1F2A2A"/>
      <name val="Calibri"/>
      <family val="2"/>
      <charset val="1"/>
    </font>
    <font>
      <sz val="9"/>
      <color rgb="FF0CB8AE"/>
      <name val="Calibri"/>
      <family val="2"/>
      <charset val="1"/>
    </font>
    <font>
      <sz val="14"/>
      <color theme="0"/>
      <name val="Calibri"/>
      <family val="2"/>
      <charset val="1"/>
    </font>
    <font>
      <b/>
      <sz val="20"/>
      <color rgb="FF143371"/>
      <name val="Calibri"/>
      <family val="2"/>
      <charset val="1"/>
    </font>
    <font>
      <b/>
      <sz val="9.5"/>
      <color rgb="FF0CB8AE"/>
      <name val="Calibri"/>
      <family val="2"/>
    </font>
    <font>
      <sz val="10.5"/>
      <color rgb="FF1F2A2A"/>
      <name val="Calibri"/>
      <family val="2"/>
      <charset val="1"/>
    </font>
    <font>
      <b/>
      <sz val="10"/>
      <color rgb="FF1F2A2A"/>
      <name val="Calibri"/>
      <family val="2"/>
      <charset val="1"/>
    </font>
    <font>
      <sz val="10"/>
      <color rgb="FF7A8887"/>
      <name val="Calibri"/>
      <family val="2"/>
      <charset val="1"/>
    </font>
    <font>
      <sz val="9"/>
      <color rgb="FFC2CCCB"/>
      <name val="Calibri"/>
      <family val="2"/>
    </font>
    <font>
      <b/>
      <sz val="11"/>
      <color rgb="FF143371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6"/>
      <color theme="0"/>
      <name val="Calibri"/>
      <family val="2"/>
      <charset val="1"/>
    </font>
    <font>
      <b/>
      <sz val="12"/>
      <color rgb="FF143371"/>
      <name val="Calibri"/>
      <family val="2"/>
      <charset val="1"/>
    </font>
    <font>
      <b/>
      <sz val="10.5"/>
      <color rgb="FF143371"/>
      <name val="Calibri"/>
      <family val="2"/>
    </font>
    <font>
      <sz val="9.5"/>
      <color rgb="FF7A8887"/>
      <name val="Calibri"/>
      <family val="2"/>
      <charset val="1"/>
    </font>
    <font>
      <sz val="12"/>
      <color rgb="FF1C52AC"/>
      <name val="Calibri"/>
      <family val="2"/>
      <charset val="1"/>
    </font>
    <font>
      <b/>
      <sz val="16"/>
      <color rgb="FF143371"/>
      <name val="Calibri"/>
      <family val="2"/>
      <charset val="1"/>
    </font>
    <font>
      <b/>
      <sz val="16"/>
      <color rgb="FF0CB8AE"/>
      <name val="Calibri"/>
      <family val="2"/>
      <charset val="1"/>
    </font>
    <font>
      <b/>
      <sz val="16"/>
      <color rgb="FFC0614E"/>
      <name val="Calibri"/>
      <family val="2"/>
      <charset val="1"/>
    </font>
    <font>
      <b/>
      <sz val="10.5"/>
      <color rgb="FFC0614E"/>
      <name val="Calibri"/>
      <family val="2"/>
      <charset val="1"/>
    </font>
    <font>
      <sz val="11"/>
      <name val="Calibri"/>
      <family val="2"/>
      <charset val="1"/>
    </font>
    <font>
      <sz val="8"/>
      <color rgb="FFAAAAAA"/>
      <name val="Calibri"/>
      <family val="2"/>
      <charset val="1"/>
    </font>
    <font>
      <b/>
      <sz val="9"/>
      <color rgb="FF143371"/>
      <name val="Calibri"/>
      <family val="2"/>
      <charset val="1"/>
    </font>
    <font>
      <b/>
      <sz val="13"/>
      <color rgb="FF143371"/>
      <name val="Calibri"/>
      <family val="2"/>
      <charset val="1"/>
    </font>
    <font>
      <u/>
      <sz val="14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DEF8F5"/>
        <bgColor rgb="FFDDF7F5"/>
      </patternFill>
    </fill>
    <fill>
      <patternFill patternType="solid">
        <fgColor theme="0"/>
        <bgColor rgb="FFFAF9F5"/>
      </patternFill>
    </fill>
    <fill>
      <patternFill patternType="solid">
        <fgColor rgb="FF1C52AC"/>
        <bgColor rgb="FF1D52AC"/>
      </patternFill>
    </fill>
    <fill>
      <patternFill patternType="solid">
        <fgColor rgb="FF143371"/>
        <bgColor rgb="FF002060"/>
      </patternFill>
    </fill>
    <fill>
      <patternFill patternType="solid">
        <fgColor rgb="FFDDF7F5"/>
        <bgColor rgb="FFDEF8F5"/>
      </patternFill>
    </fill>
    <fill>
      <patternFill patternType="solid">
        <fgColor rgb="FFFAF9F5"/>
        <bgColor rgb="FFFFFFFF"/>
      </patternFill>
    </fill>
    <fill>
      <patternFill patternType="solid">
        <fgColor rgb="FF0CB8AE"/>
        <bgColor rgb="FF0DB8AE"/>
      </patternFill>
    </fill>
    <fill>
      <patternFill patternType="solid">
        <fgColor rgb="FFEAF8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9FC"/>
        <bgColor indexed="64"/>
      </patternFill>
    </fill>
    <fill>
      <patternFill patternType="solid">
        <fgColor rgb="FFEBF9FC"/>
        <bgColor rgb="FFDDF7F5"/>
      </patternFill>
    </fill>
    <fill>
      <patternFill patternType="solid">
        <fgColor rgb="FFECFAFD"/>
        <bgColor rgb="FFDDF7F5"/>
      </patternFill>
    </fill>
    <fill>
      <patternFill patternType="solid">
        <fgColor rgb="FFECFAFD"/>
        <bgColor rgb="FFDEF8F5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CB8AE"/>
      </bottom>
      <diagonal/>
    </border>
    <border>
      <left/>
      <right/>
      <top style="thin">
        <color rgb="FF0CB8AE"/>
      </top>
      <bottom/>
      <diagonal/>
    </border>
    <border>
      <left/>
      <right style="thin">
        <color rgb="FFEEF1EF"/>
      </right>
      <top/>
      <bottom/>
      <diagonal/>
    </border>
    <border>
      <left/>
      <right style="thin">
        <color rgb="FFEEF1EF"/>
      </right>
      <top/>
      <bottom style="thin">
        <color rgb="FFEEF1EF"/>
      </bottom>
      <diagonal/>
    </border>
    <border>
      <left/>
      <right style="thin">
        <color rgb="FFEEF1EF"/>
      </right>
      <top style="thick">
        <color rgb="FF1D52AC"/>
      </top>
      <bottom/>
      <diagonal/>
    </border>
    <border>
      <left style="thin">
        <color rgb="FF6E7A79"/>
      </left>
      <right style="thin">
        <color rgb="FFEEF1EF"/>
      </right>
      <top style="thick">
        <color rgb="FFE8974A"/>
      </top>
      <bottom/>
      <diagonal/>
    </border>
    <border>
      <left/>
      <right style="thin">
        <color rgb="FFEEF1EF"/>
      </right>
      <top/>
      <bottom style="thick">
        <color rgb="FF1C52AC"/>
      </bottom>
      <diagonal/>
    </border>
    <border>
      <left style="thin">
        <color rgb="FF6E7A79"/>
      </left>
      <right style="thin">
        <color rgb="FFEEF1EF"/>
      </right>
      <top/>
      <bottom style="thick">
        <color rgb="FFE9974A"/>
      </bottom>
      <diagonal/>
    </border>
    <border>
      <left/>
      <right style="thin">
        <color rgb="FFEEF1EF"/>
      </right>
      <top style="thick">
        <color rgb="FF1C52AC"/>
      </top>
      <bottom/>
      <diagonal/>
    </border>
    <border>
      <left style="thin">
        <color rgb="FFEEF1EF"/>
      </left>
      <right/>
      <top style="thin">
        <color rgb="FFEEF1EF"/>
      </top>
      <bottom style="thin">
        <color rgb="FFEEF1EF"/>
      </bottom>
      <diagonal/>
    </border>
    <border>
      <left/>
      <right/>
      <top style="thin">
        <color rgb="FFEEF1EF"/>
      </top>
      <bottom style="thin">
        <color rgb="FFEEF1E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EEF1EF"/>
      </left>
      <right/>
      <top/>
      <bottom/>
      <diagonal/>
    </border>
    <border>
      <left style="thin">
        <color rgb="FFEEF1EF"/>
      </left>
      <right/>
      <top/>
      <bottom style="thin">
        <color rgb="FFEEF1EF"/>
      </bottom>
      <diagonal/>
    </border>
    <border>
      <left/>
      <right/>
      <top/>
      <bottom style="thin">
        <color rgb="FFEEF1EF"/>
      </bottom>
      <diagonal/>
    </border>
    <border>
      <left style="thin">
        <color rgb="FFEEF1EF"/>
      </left>
      <right/>
      <top style="thin">
        <color rgb="FFEEF1EF"/>
      </top>
      <bottom/>
      <diagonal/>
    </border>
    <border>
      <left/>
      <right/>
      <top style="thin">
        <color rgb="FFEEF1EF"/>
      </top>
      <bottom/>
      <diagonal/>
    </border>
    <border>
      <left/>
      <right style="thin">
        <color rgb="FFEEF1EF"/>
      </right>
      <top style="thin">
        <color rgb="FFEEF1EF"/>
      </top>
      <bottom/>
      <diagonal/>
    </border>
    <border>
      <left/>
      <right/>
      <top style="thin">
        <color rgb="FF0CB8AE"/>
      </top>
      <bottom style="hair">
        <color rgb="FFC9E5E2"/>
      </bottom>
      <diagonal/>
    </border>
    <border>
      <left/>
      <right/>
      <top/>
      <bottom style="hair">
        <color rgb="FFC9E5E2"/>
      </bottom>
      <diagonal/>
    </border>
    <border>
      <left style="thin">
        <color theme="0" tint="-0.14999847407452621"/>
      </left>
      <right style="thin">
        <color rgb="FFEEF1EF"/>
      </right>
      <top style="thin">
        <color theme="0" tint="-0.14999847407452621"/>
      </top>
      <bottom/>
      <diagonal/>
    </border>
    <border>
      <left style="thin">
        <color rgb="FFEEF1EF"/>
      </left>
      <right style="thin">
        <color rgb="FFEEF1EF"/>
      </right>
      <top style="thin">
        <color theme="0" tint="-0.14999847407452621"/>
      </top>
      <bottom/>
      <diagonal/>
    </border>
    <border>
      <left style="thin">
        <color rgb="FFEEF1EF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EF1EF"/>
      </right>
      <top/>
      <bottom style="thin">
        <color theme="0" tint="-0.14999847407452621"/>
      </bottom>
      <diagonal/>
    </border>
    <border>
      <left style="thin">
        <color rgb="FFEEF1EF"/>
      </left>
      <right style="thin">
        <color rgb="FFEEF1EF"/>
      </right>
      <top/>
      <bottom style="thin">
        <color theme="0" tint="-0.14999847407452621"/>
      </bottom>
      <diagonal/>
    </border>
    <border>
      <left style="thin">
        <color rgb="FFEEF1EF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rgb="FF0EB8AE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4" fillId="2" borderId="0" xfId="0" applyFont="1" applyFill="1"/>
    <xf numFmtId="164" fontId="4" fillId="2" borderId="0" xfId="0" applyNumberFormat="1" applyFont="1" applyFill="1"/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3" borderId="13" xfId="0" applyFont="1" applyFill="1" applyBorder="1" applyAlignment="1">
      <alignment horizontal="left" vertical="center" indent="1"/>
    </xf>
    <xf numFmtId="165" fontId="23" fillId="3" borderId="0" xfId="0" applyNumberFormat="1" applyFont="1" applyFill="1" applyAlignment="1">
      <alignment horizontal="right" vertical="center"/>
    </xf>
    <xf numFmtId="165" fontId="23" fillId="3" borderId="3" xfId="0" applyNumberFormat="1" applyFont="1" applyFill="1" applyBorder="1" applyAlignment="1">
      <alignment horizontal="right" vertical="center"/>
    </xf>
    <xf numFmtId="0" fontId="23" fillId="6" borderId="13" xfId="0" applyFont="1" applyFill="1" applyBorder="1" applyAlignment="1">
      <alignment horizontal="left" vertical="center" indent="1"/>
    </xf>
    <xf numFmtId="165" fontId="23" fillId="6" borderId="0" xfId="0" applyNumberFormat="1" applyFont="1" applyFill="1" applyAlignment="1">
      <alignment horizontal="right" vertical="center"/>
    </xf>
    <xf numFmtId="165" fontId="23" fillId="6" borderId="3" xfId="0" applyNumberFormat="1" applyFont="1" applyFill="1" applyBorder="1" applyAlignment="1">
      <alignment horizontal="right" vertical="center"/>
    </xf>
    <xf numFmtId="0" fontId="22" fillId="5" borderId="14" xfId="0" applyFont="1" applyFill="1" applyBorder="1" applyAlignment="1">
      <alignment horizontal="left" vertical="center" indent="1"/>
    </xf>
    <xf numFmtId="165" fontId="22" fillId="5" borderId="15" xfId="0" applyNumberFormat="1" applyFont="1" applyFill="1" applyBorder="1" applyAlignment="1">
      <alignment horizontal="right" vertical="center"/>
    </xf>
    <xf numFmtId="165" fontId="22" fillId="5" borderId="4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7" fillId="4" borderId="0" xfId="0" applyFont="1" applyFill="1" applyAlignment="1">
      <alignment horizontal="left" vertical="top"/>
    </xf>
    <xf numFmtId="0" fontId="22" fillId="4" borderId="16" xfId="0" applyFont="1" applyFill="1" applyBorder="1" applyAlignment="1">
      <alignment horizontal="left" vertical="center"/>
    </xf>
    <xf numFmtId="0" fontId="22" fillId="4" borderId="17" xfId="0" applyFont="1" applyFill="1" applyBorder="1" applyAlignment="1">
      <alignment horizontal="left" vertical="center"/>
    </xf>
    <xf numFmtId="0" fontId="22" fillId="4" borderId="17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left" vertical="center"/>
    </xf>
    <xf numFmtId="0" fontId="27" fillId="3" borderId="19" xfId="0" applyFont="1" applyFill="1" applyBorder="1" applyAlignment="1">
      <alignment horizontal="left" vertical="center"/>
    </xf>
    <xf numFmtId="165" fontId="30" fillId="3" borderId="19" xfId="0" applyNumberFormat="1" applyFont="1" applyFill="1" applyBorder="1" applyAlignment="1">
      <alignment horizontal="right" vertical="center"/>
    </xf>
    <xf numFmtId="0" fontId="31" fillId="3" borderId="20" xfId="0" applyFont="1" applyFill="1" applyBorder="1" applyAlignment="1">
      <alignment horizontal="left" vertical="center"/>
    </xf>
    <xf numFmtId="165" fontId="30" fillId="3" borderId="20" xfId="0" applyNumberFormat="1" applyFont="1" applyFill="1" applyBorder="1" applyAlignment="1">
      <alignment horizontal="right" vertical="center"/>
    </xf>
    <xf numFmtId="0" fontId="27" fillId="7" borderId="19" xfId="0" applyFont="1" applyFill="1" applyBorder="1" applyAlignment="1">
      <alignment horizontal="left" vertical="center"/>
    </xf>
    <xf numFmtId="165" fontId="30" fillId="7" borderId="19" xfId="0" applyNumberFormat="1" applyFont="1" applyFill="1" applyBorder="1" applyAlignment="1">
      <alignment horizontal="right" vertical="center"/>
    </xf>
    <xf numFmtId="0" fontId="31" fillId="7" borderId="20" xfId="0" applyFont="1" applyFill="1" applyBorder="1" applyAlignment="1">
      <alignment horizontal="left" vertical="center"/>
    </xf>
    <xf numFmtId="165" fontId="30" fillId="7" borderId="20" xfId="0" applyNumberFormat="1" applyFont="1" applyFill="1" applyBorder="1" applyAlignment="1">
      <alignment horizontal="right" vertical="center"/>
    </xf>
    <xf numFmtId="0" fontId="0" fillId="5" borderId="14" xfId="0" applyFill="1" applyBorder="1"/>
    <xf numFmtId="0" fontId="32" fillId="5" borderId="15" xfId="0" applyFont="1" applyFill="1" applyBorder="1" applyAlignment="1">
      <alignment horizontal="right" vertical="center"/>
    </xf>
    <xf numFmtId="164" fontId="33" fillId="5" borderId="15" xfId="0" applyNumberFormat="1" applyFont="1" applyFill="1" applyBorder="1" applyAlignment="1">
      <alignment horizontal="right" vertical="center"/>
    </xf>
    <xf numFmtId="0" fontId="0" fillId="5" borderId="15" xfId="0" applyFill="1" applyBorder="1"/>
    <xf numFmtId="0" fontId="0" fillId="5" borderId="4" xfId="0" applyFill="1" applyBorder="1"/>
    <xf numFmtId="0" fontId="34" fillId="0" borderId="0" xfId="0" applyFont="1" applyAlignment="1">
      <alignment horizontal="left" vertical="top"/>
    </xf>
    <xf numFmtId="0" fontId="33" fillId="4" borderId="16" xfId="0" applyFont="1" applyFill="1" applyBorder="1" applyAlignment="1">
      <alignment horizontal="center" vertical="center"/>
    </xf>
    <xf numFmtId="0" fontId="33" fillId="4" borderId="17" xfId="0" applyFont="1" applyFill="1" applyBorder="1" applyAlignment="1">
      <alignment horizontal="left" vertical="center"/>
    </xf>
    <xf numFmtId="0" fontId="33" fillId="4" borderId="17" xfId="0" applyFont="1" applyFill="1" applyBorder="1" applyAlignment="1">
      <alignment horizontal="center" vertical="center"/>
    </xf>
    <xf numFmtId="0" fontId="33" fillId="4" borderId="18" xfId="0" applyFont="1" applyFill="1" applyBorder="1" applyAlignment="1">
      <alignment horizontal="left" vertical="center"/>
    </xf>
    <xf numFmtId="0" fontId="30" fillId="6" borderId="20" xfId="0" applyFont="1" applyFill="1" applyBorder="1" applyAlignment="1">
      <alignment horizontal="center" vertical="center"/>
    </xf>
    <xf numFmtId="0" fontId="28" fillId="0" borderId="20" xfId="0" applyFont="1" applyBorder="1" applyAlignment="1">
      <alignment horizontal="left" vertical="center"/>
    </xf>
    <xf numFmtId="0" fontId="37" fillId="0" borderId="20" xfId="0" applyFont="1" applyBorder="1" applyAlignment="1">
      <alignment horizontal="center" vertical="center"/>
    </xf>
    <xf numFmtId="0" fontId="0" fillId="6" borderId="20" xfId="0" applyFill="1" applyBorder="1" applyAlignment="1">
      <alignment vertical="center"/>
    </xf>
    <xf numFmtId="0" fontId="28" fillId="7" borderId="20" xfId="0" applyFont="1" applyFill="1" applyBorder="1" applyAlignment="1">
      <alignment horizontal="left" vertical="center"/>
    </xf>
    <xf numFmtId="0" fontId="37" fillId="7" borderId="20" xfId="0" applyFont="1" applyFill="1" applyBorder="1" applyAlignment="1">
      <alignment horizontal="center" vertical="center"/>
    </xf>
    <xf numFmtId="0" fontId="0" fillId="7" borderId="20" xfId="0" applyFill="1" applyBorder="1" applyAlignment="1">
      <alignment vertical="center"/>
    </xf>
    <xf numFmtId="0" fontId="35" fillId="7" borderId="23" xfId="0" applyFont="1" applyFill="1" applyBorder="1" applyAlignment="1">
      <alignment horizontal="right" vertical="center"/>
    </xf>
    <xf numFmtId="0" fontId="35" fillId="7" borderId="24" xfId="0" applyFont="1" applyFill="1" applyBorder="1" applyAlignment="1">
      <alignment horizontal="center" vertical="center"/>
    </xf>
    <xf numFmtId="0" fontId="41" fillId="7" borderId="27" xfId="0" applyFont="1" applyFill="1" applyBorder="1" applyAlignment="1">
      <alignment vertical="center"/>
    </xf>
    <xf numFmtId="0" fontId="39" fillId="7" borderId="28" xfId="0" applyFont="1" applyFill="1" applyBorder="1" applyAlignment="1">
      <alignment horizontal="center" vertical="center"/>
    </xf>
    <xf numFmtId="0" fontId="33" fillId="4" borderId="0" xfId="0" applyFont="1" applyFill="1" applyAlignment="1">
      <alignment horizontal="left" vertical="center"/>
    </xf>
    <xf numFmtId="0" fontId="33" fillId="4" borderId="0" xfId="0" applyFont="1" applyFill="1" applyAlignment="1">
      <alignment horizontal="center" vertical="center"/>
    </xf>
    <xf numFmtId="0" fontId="28" fillId="3" borderId="13" xfId="0" applyFont="1" applyFill="1" applyBorder="1" applyAlignment="1">
      <alignment horizontal="left" vertical="center"/>
    </xf>
    <xf numFmtId="0" fontId="28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left" vertical="center"/>
    </xf>
    <xf numFmtId="0" fontId="28" fillId="3" borderId="3" xfId="0" applyFont="1" applyFill="1" applyBorder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43" fillId="0" borderId="0" xfId="0" applyFont="1"/>
    <xf numFmtId="0" fontId="44" fillId="0" borderId="0" xfId="0" applyFont="1"/>
    <xf numFmtId="0" fontId="28" fillId="7" borderId="13" xfId="0" applyFont="1" applyFill="1" applyBorder="1" applyAlignment="1">
      <alignment horizontal="left" vertical="center"/>
    </xf>
    <xf numFmtId="0" fontId="28" fillId="7" borderId="0" xfId="0" applyFont="1" applyFill="1" applyAlignment="1">
      <alignment horizontal="center" vertical="center"/>
    </xf>
    <xf numFmtId="0" fontId="28" fillId="7" borderId="0" xfId="0" applyFont="1" applyFill="1" applyAlignment="1">
      <alignment horizontal="left" vertical="center"/>
    </xf>
    <xf numFmtId="0" fontId="28" fillId="7" borderId="3" xfId="0" applyFont="1" applyFill="1" applyBorder="1" applyAlignment="1">
      <alignment horizontal="left" vertical="center"/>
    </xf>
    <xf numFmtId="0" fontId="42" fillId="7" borderId="0" xfId="0" applyFont="1" applyFill="1" applyAlignment="1">
      <alignment horizontal="center" vertical="center"/>
    </xf>
    <xf numFmtId="0" fontId="45" fillId="7" borderId="0" xfId="0" applyFont="1" applyFill="1" applyAlignment="1">
      <alignment horizontal="center" vertical="center"/>
    </xf>
    <xf numFmtId="0" fontId="46" fillId="6" borderId="0" xfId="0" applyFont="1" applyFill="1" applyAlignment="1">
      <alignment horizontal="center" vertical="center"/>
    </xf>
    <xf numFmtId="0" fontId="46" fillId="7" borderId="0" xfId="0" applyFont="1" applyFill="1" applyAlignment="1">
      <alignment horizontal="center" vertical="center"/>
    </xf>
    <xf numFmtId="0" fontId="33" fillId="8" borderId="0" xfId="0" applyFont="1" applyFill="1" applyAlignment="1">
      <alignment horizontal="left" vertical="center"/>
    </xf>
    <xf numFmtId="0" fontId="33" fillId="8" borderId="0" xfId="0" applyFont="1" applyFill="1" applyAlignment="1">
      <alignment horizontal="center" vertical="center"/>
    </xf>
    <xf numFmtId="0" fontId="28" fillId="7" borderId="0" xfId="0" applyFont="1" applyFill="1"/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0" xfId="0" applyFont="1"/>
    <xf numFmtId="0" fontId="43" fillId="0" borderId="0" xfId="0" applyFont="1" applyAlignment="1">
      <alignment horizontal="center" vertical="center"/>
    </xf>
    <xf numFmtId="0" fontId="0" fillId="9" borderId="0" xfId="0" applyFill="1"/>
    <xf numFmtId="0" fontId="43" fillId="9" borderId="0" xfId="0" applyFont="1" applyFill="1"/>
    <xf numFmtId="0" fontId="0" fillId="0" borderId="29" xfId="0" applyBorder="1"/>
    <xf numFmtId="0" fontId="26" fillId="0" borderId="29" xfId="0" applyFont="1" applyBorder="1" applyAlignment="1">
      <alignment vertical="center"/>
    </xf>
    <xf numFmtId="0" fontId="0" fillId="10" borderId="29" xfId="0" applyFill="1" applyBorder="1"/>
    <xf numFmtId="0" fontId="34" fillId="11" borderId="0" xfId="0" applyFont="1" applyFill="1" applyAlignment="1">
      <alignment horizontal="left" vertical="top"/>
    </xf>
    <xf numFmtId="0" fontId="0" fillId="11" borderId="0" xfId="0" applyFill="1"/>
    <xf numFmtId="0" fontId="35" fillId="11" borderId="0" xfId="0" applyFont="1" applyFill="1" applyAlignment="1">
      <alignment horizontal="left" vertical="center"/>
    </xf>
    <xf numFmtId="0" fontId="5" fillId="12" borderId="0" xfId="0" applyFont="1" applyFill="1" applyAlignment="1">
      <alignment horizontal="left" vertical="center"/>
    </xf>
    <xf numFmtId="0" fontId="0" fillId="12" borderId="0" xfId="0" applyFill="1"/>
    <xf numFmtId="0" fontId="0" fillId="3" borderId="29" xfId="0" applyFill="1" applyBorder="1"/>
    <xf numFmtId="0" fontId="4" fillId="3" borderId="29" xfId="0" applyFont="1" applyFill="1" applyBorder="1"/>
    <xf numFmtId="164" fontId="4" fillId="3" borderId="29" xfId="0" applyNumberFormat="1" applyFont="1" applyFill="1" applyBorder="1"/>
    <xf numFmtId="0" fontId="5" fillId="13" borderId="0" xfId="0" applyFont="1" applyFill="1" applyAlignment="1">
      <alignment horizontal="left" vertical="center"/>
    </xf>
    <xf numFmtId="0" fontId="0" fillId="13" borderId="0" xfId="0" applyFill="1"/>
    <xf numFmtId="0" fontId="6" fillId="13" borderId="0" xfId="0" applyFont="1" applyFill="1"/>
    <xf numFmtId="164" fontId="6" fillId="13" borderId="0" xfId="0" applyNumberFormat="1" applyFont="1" applyFill="1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4" fillId="13" borderId="0" xfId="0" applyFont="1" applyFill="1"/>
    <xf numFmtId="0" fontId="18" fillId="13" borderId="10" xfId="0" applyFont="1" applyFill="1" applyBorder="1" applyAlignment="1">
      <alignment horizontal="left" vertical="center"/>
    </xf>
    <xf numFmtId="166" fontId="19" fillId="13" borderId="11" xfId="0" applyNumberFormat="1" applyFont="1" applyFill="1" applyBorder="1" applyAlignment="1">
      <alignment horizontal="right" vertical="center"/>
    </xf>
    <xf numFmtId="166" fontId="21" fillId="13" borderId="11" xfId="0" applyNumberFormat="1" applyFont="1" applyFill="1" applyBorder="1" applyAlignment="1">
      <alignment horizontal="right" vertical="center"/>
    </xf>
    <xf numFmtId="0" fontId="8" fillId="13" borderId="0" xfId="0" applyFont="1" applyFill="1" applyAlignment="1">
      <alignment horizontal="center" vertical="center" wrapText="1"/>
    </xf>
    <xf numFmtId="0" fontId="0" fillId="13" borderId="2" xfId="0" applyFill="1" applyBorder="1"/>
    <xf numFmtId="0" fontId="28" fillId="13" borderId="19" xfId="0" applyFont="1" applyFill="1" applyBorder="1" applyAlignment="1">
      <alignment horizontal="left" vertical="center"/>
    </xf>
    <xf numFmtId="165" fontId="29" fillId="14" borderId="19" xfId="0" applyNumberFormat="1" applyFont="1" applyFill="1" applyBorder="1" applyAlignment="1">
      <alignment horizontal="right" vertical="center"/>
    </xf>
    <xf numFmtId="165" fontId="0" fillId="14" borderId="19" xfId="0" applyNumberFormat="1" applyFill="1" applyBorder="1" applyAlignment="1">
      <alignment horizontal="right" vertical="center"/>
    </xf>
    <xf numFmtId="0" fontId="28" fillId="13" borderId="20" xfId="0" applyFont="1" applyFill="1" applyBorder="1" applyAlignment="1">
      <alignment horizontal="left" vertical="center"/>
    </xf>
    <xf numFmtId="165" fontId="29" fillId="14" borderId="20" xfId="0" applyNumberFormat="1" applyFont="1" applyFill="1" applyBorder="1" applyAlignment="1">
      <alignment horizontal="right" vertical="center"/>
    </xf>
    <xf numFmtId="165" fontId="0" fillId="14" borderId="20" xfId="0" applyNumberFormat="1" applyFill="1" applyBorder="1" applyAlignment="1">
      <alignment horizontal="right" vertical="center"/>
    </xf>
    <xf numFmtId="168" fontId="0" fillId="14" borderId="19" xfId="0" applyNumberFormat="1" applyFill="1" applyBorder="1" applyAlignment="1">
      <alignment horizontal="center" vertical="center"/>
    </xf>
    <xf numFmtId="0" fontId="0" fillId="14" borderId="19" xfId="0" applyFill="1" applyBorder="1" applyAlignment="1">
      <alignment horizontal="left" vertical="center"/>
    </xf>
    <xf numFmtId="0" fontId="0" fillId="14" borderId="19" xfId="0" applyFill="1" applyBorder="1" applyAlignment="1">
      <alignment horizontal="center" vertical="center"/>
    </xf>
    <xf numFmtId="168" fontId="0" fillId="14" borderId="20" xfId="0" applyNumberFormat="1" applyFill="1" applyBorder="1" applyAlignment="1">
      <alignment horizontal="center" vertical="center"/>
    </xf>
    <xf numFmtId="0" fontId="0" fillId="14" borderId="20" xfId="0" applyFill="1" applyBorder="1" applyAlignment="1">
      <alignment horizontal="left" vertical="center"/>
    </xf>
    <xf numFmtId="0" fontId="0" fillId="14" borderId="20" xfId="0" applyFill="1" applyBorder="1" applyAlignment="1">
      <alignment horizontal="center" vertical="center"/>
    </xf>
    <xf numFmtId="167" fontId="20" fillId="13" borderId="12" xfId="0" applyNumberFormat="1" applyFont="1" applyFill="1" applyBorder="1"/>
    <xf numFmtId="0" fontId="9" fillId="13" borderId="0" xfId="0" applyFont="1" applyFill="1" applyAlignment="1">
      <alignment horizontal="left" vertical="center"/>
    </xf>
    <xf numFmtId="0" fontId="16" fillId="14" borderId="9" xfId="0" applyFont="1" applyFill="1" applyBorder="1" applyAlignment="1">
      <alignment horizontal="right" indent="1"/>
    </xf>
    <xf numFmtId="0" fontId="16" fillId="13" borderId="3" xfId="0" applyFont="1" applyFill="1" applyBorder="1" applyAlignment="1">
      <alignment horizontal="right" indent="1"/>
    </xf>
    <xf numFmtId="165" fontId="17" fillId="14" borderId="3" xfId="0" applyNumberFormat="1" applyFont="1" applyFill="1" applyBorder="1" applyAlignment="1">
      <alignment horizontal="right" vertical="center" indent="1"/>
    </xf>
    <xf numFmtId="165" fontId="17" fillId="13" borderId="3" xfId="0" applyNumberFormat="1" applyFont="1" applyFill="1" applyBorder="1" applyAlignment="1">
      <alignment horizontal="right" vertical="center" indent="1"/>
    </xf>
    <xf numFmtId="0" fontId="9" fillId="13" borderId="1" xfId="0" applyFont="1" applyFill="1" applyBorder="1" applyAlignment="1">
      <alignment horizontal="left" vertical="center"/>
    </xf>
    <xf numFmtId="165" fontId="11" fillId="13" borderId="4" xfId="0" applyNumberFormat="1" applyFont="1" applyFill="1" applyBorder="1" applyAlignment="1">
      <alignment horizontal="left" vertical="center" indent="1"/>
    </xf>
    <xf numFmtId="0" fontId="12" fillId="4" borderId="5" xfId="0" applyFont="1" applyFill="1" applyBorder="1" applyAlignment="1">
      <alignment horizontal="right" indent="1"/>
    </xf>
    <xf numFmtId="0" fontId="13" fillId="13" borderId="6" xfId="0" applyFont="1" applyFill="1" applyBorder="1" applyAlignment="1">
      <alignment horizontal="right" indent="1"/>
    </xf>
    <xf numFmtId="165" fontId="14" fillId="4" borderId="7" xfId="0" applyNumberFormat="1" applyFont="1" applyFill="1" applyBorder="1" applyAlignment="1">
      <alignment horizontal="right" vertical="center" indent="1"/>
    </xf>
    <xf numFmtId="165" fontId="15" fillId="13" borderId="8" xfId="0" applyNumberFormat="1" applyFont="1" applyFill="1" applyBorder="1" applyAlignment="1">
      <alignment horizontal="right" vertical="center" indent="1"/>
    </xf>
    <xf numFmtId="0" fontId="1" fillId="3" borderId="0" xfId="0" applyFont="1" applyFill="1" applyAlignment="1">
      <alignment horizontal="left" vertical="center"/>
    </xf>
    <xf numFmtId="0" fontId="3" fillId="3" borderId="29" xfId="0" applyFont="1" applyFill="1" applyBorder="1" applyAlignment="1">
      <alignment horizontal="left" vertical="center" wrapText="1"/>
    </xf>
    <xf numFmtId="0" fontId="25" fillId="4" borderId="0" xfId="0" applyFont="1" applyFill="1" applyAlignment="1">
      <alignment horizontal="left" vertical="center" wrapText="1"/>
    </xf>
    <xf numFmtId="0" fontId="10" fillId="13" borderId="3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7" fillId="4" borderId="0" xfId="0" applyFont="1" applyFill="1" applyAlignment="1">
      <alignment horizontal="left" vertical="top"/>
    </xf>
    <xf numFmtId="0" fontId="36" fillId="6" borderId="19" xfId="0" applyFont="1" applyFill="1" applyBorder="1" applyAlignment="1">
      <alignment vertical="center"/>
    </xf>
    <xf numFmtId="0" fontId="19" fillId="11" borderId="0" xfId="0" applyFont="1" applyFill="1"/>
    <xf numFmtId="0" fontId="22" fillId="4" borderId="0" xfId="0" applyFont="1" applyFill="1" applyAlignment="1">
      <alignment horizontal="center" vertical="center"/>
    </xf>
    <xf numFmtId="0" fontId="33" fillId="4" borderId="0" xfId="0" applyFont="1" applyFill="1" applyAlignment="1">
      <alignment horizontal="center" vertical="center"/>
    </xf>
    <xf numFmtId="0" fontId="39" fillId="7" borderId="25" xfId="0" applyFont="1" applyFill="1" applyBorder="1" applyAlignment="1">
      <alignment horizontal="right" vertical="center"/>
    </xf>
    <xf numFmtId="0" fontId="40" fillId="6" borderId="26" xfId="0" applyFont="1" applyFill="1" applyBorder="1" applyAlignment="1">
      <alignment horizontal="right" vertical="center"/>
    </xf>
    <xf numFmtId="0" fontId="41" fillId="7" borderId="26" xfId="0" applyFont="1" applyFill="1" applyBorder="1" applyAlignment="1">
      <alignment horizontal="right" vertical="center"/>
    </xf>
    <xf numFmtId="0" fontId="40" fillId="6" borderId="28" xfId="0" applyFont="1" applyFill="1" applyBorder="1" applyAlignment="1">
      <alignment horizontal="center" vertical="center"/>
    </xf>
    <xf numFmtId="0" fontId="41" fillId="7" borderId="28" xfId="0" applyFont="1" applyFill="1" applyBorder="1" applyAlignment="1">
      <alignment horizontal="center" vertical="center"/>
    </xf>
    <xf numFmtId="0" fontId="26" fillId="10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top" wrapText="1"/>
    </xf>
    <xf numFmtId="0" fontId="38" fillId="9" borderId="0" xfId="0" applyFont="1" applyFill="1" applyAlignment="1">
      <alignment horizontal="left" vertical="top" wrapText="1"/>
    </xf>
    <xf numFmtId="0" fontId="35" fillId="7" borderId="21" xfId="0" applyFont="1" applyFill="1" applyBorder="1" applyAlignment="1">
      <alignment horizontal="right" vertical="center"/>
    </xf>
    <xf numFmtId="0" fontId="35" fillId="6" borderId="22" xfId="0" applyFont="1" applyFill="1" applyBorder="1" applyAlignment="1">
      <alignment horizontal="right" vertical="center"/>
    </xf>
    <xf numFmtId="0" fontId="35" fillId="7" borderId="22" xfId="0" applyFont="1" applyFill="1" applyBorder="1" applyAlignment="1">
      <alignment horizontal="right" vertical="center"/>
    </xf>
    <xf numFmtId="0" fontId="35" fillId="6" borderId="24" xfId="0" applyFont="1" applyFill="1" applyBorder="1" applyAlignment="1">
      <alignment horizontal="center" vertical="center"/>
    </xf>
    <xf numFmtId="0" fontId="35" fillId="7" borderId="24" xfId="0" applyFont="1" applyFill="1" applyBorder="1" applyAlignment="1">
      <alignment horizontal="center" vertical="center"/>
    </xf>
  </cellXfs>
  <cellStyles count="1">
    <cellStyle name="Standard" xfId="0" builtinId="0"/>
  </cellStyles>
  <dxfs count="8">
    <dxf>
      <font>
        <b/>
        <sz val="10"/>
        <color rgb="FFC0614E"/>
        <name val="Calibri"/>
        <charset val="1"/>
      </font>
    </dxf>
    <dxf>
      <font>
        <b/>
        <sz val="10"/>
        <color rgb="FF1B9E8F"/>
        <name val="Calibri"/>
        <charset val="1"/>
      </font>
    </dxf>
    <dxf>
      <font>
        <sz val="10"/>
        <color rgb="FF1B9E8F"/>
        <name val="Calibri"/>
        <charset val="1"/>
      </font>
      <fill>
        <patternFill>
          <bgColor rgb="FFDDF7F5"/>
        </patternFill>
      </fill>
    </dxf>
    <dxf>
      <font>
        <b/>
        <color rgb="FF0CB8AE"/>
      </font>
    </dxf>
    <dxf>
      <font>
        <b/>
        <color rgb="FF143371"/>
      </font>
    </dxf>
    <dxf>
      <font>
        <b/>
        <color rgb="FF0CB8AE"/>
      </font>
    </dxf>
    <dxf>
      <font>
        <sz val="10"/>
        <color rgb="FF1B9E8F"/>
        <name val="Calibri"/>
        <charset val="1"/>
      </font>
    </dxf>
    <dxf>
      <font>
        <b/>
        <sz val="10"/>
        <color rgb="FFC0614E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2060"/>
      <rgbColor rgb="FF6E7A79"/>
      <rgbColor rgb="FF800080"/>
      <rgbColor rgb="FF1B9E8F"/>
      <rgbColor rgb="FFC2CCCB"/>
      <rgbColor rgb="FF878787"/>
      <rgbColor rgb="FFAAAAAA"/>
      <rgbColor rgb="FFD1495B"/>
      <rgbColor rgb="FFFAF9F5"/>
      <rgbColor rgb="FFDDF7F5"/>
      <rgbColor rgb="FF660066"/>
      <rgbColor rgb="FFE8964A"/>
      <rgbColor rgb="FF1C52A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CB8AE"/>
      <rgbColor rgb="FFDEF8F5"/>
      <rgbColor rgb="FFDFF9F6"/>
      <rgbColor rgb="FFEEF1EF"/>
      <rgbColor rgb="FFC9E5E2"/>
      <rgbColor rgb="FFE9974A"/>
      <rgbColor rgb="FFC15FA0"/>
      <rgbColor rgb="FFFFCC99"/>
      <rgbColor rgb="FF4F81BD"/>
      <rgbColor rgb="FF0DB8AE"/>
      <rgbColor rgb="FF99CC00"/>
      <rgbColor rgb="FFE8974A"/>
      <rgbColor rgb="FFE9A23B"/>
      <rgbColor rgb="FFC0614E"/>
      <rgbColor rgb="FF6C7A9C"/>
      <rgbColor rgb="FF7A8887"/>
      <rgbColor rgb="FF143371"/>
      <rgbColor rgb="FF3CA55C"/>
      <rgbColor rgb="FF003300"/>
      <rgbColor rgb="FF333300"/>
      <rgbColor rgb="FF993300"/>
      <rgbColor rgb="FF8E5AA8"/>
      <rgbColor rgb="FF1D52AC"/>
      <rgbColor rgb="FF1F2A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AFD"/>
      <color rgb="FF0EB8AE"/>
      <color rgb="FFEBF9FC"/>
      <color rgb="FFE997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800" b="1" strike="noStrike" spc="-1">
                <a:solidFill>
                  <a:srgbClr val="143371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143371"/>
                </a:solidFill>
                <a:latin typeface="Calibri"/>
              </a:rPr>
              <a:t>Freies Budget &amp; Tatsächliche Kosten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953639985512502"/>
          <c:y val="0.13006557928367199"/>
          <c:w val="0.439623324882289"/>
          <c:h val="0.67975449806625199"/>
        </c:manualLayout>
      </c:layout>
      <c:doughnut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1D52A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7C95-474C-BAA8-9B14C8D50998}"/>
              </c:ext>
            </c:extLst>
          </c:dPt>
          <c:dPt>
            <c:idx val="1"/>
            <c:bubble3D val="0"/>
            <c:spPr>
              <a:solidFill>
                <a:srgbClr val="E8974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7C95-474C-BAA8-9B14C8D50998}"/>
              </c:ext>
            </c:extLst>
          </c:dPt>
          <c:dLbls>
            <c:dLbl>
              <c:idx val="0"/>
              <c:layout>
                <c:manualLayout>
                  <c:x val="0.18"/>
                  <c:y val="-0.02"/>
                </c:manualLayout>
              </c:layout>
              <c:spPr/>
              <c:txPr>
                <a:bodyPr wrap="square"/>
                <a:lstStyle/>
                <a:p>
                  <a:pPr>
                    <a:defRPr sz="14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95-474C-BAA8-9B14C8D50998}"/>
                </c:ext>
              </c:extLst>
            </c:dLbl>
            <c:dLbl>
              <c:idx val="1"/>
              <c:layout>
                <c:manualLayout>
                  <c:x val="-0.18"/>
                  <c:y val="0.02"/>
                </c:manualLayout>
              </c:layout>
              <c:spPr/>
              <c:txPr>
                <a:bodyPr wrap="square"/>
                <a:lstStyle/>
                <a:p>
                  <a:pPr>
                    <a:defRPr sz="14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95-474C-BAA8-9B14C8D50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4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1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Übersicht!$S$4:$S$5</c:f>
              <c:strCache>
                <c:ptCount val="2"/>
                <c:pt idx="0">
                  <c:v>Freies Budget</c:v>
                </c:pt>
                <c:pt idx="1">
                  <c:v>Tatsächliche Kosten</c:v>
                </c:pt>
              </c:strCache>
            </c:strRef>
          </c:cat>
          <c:val>
            <c:numRef>
              <c:f>Übersicht!$T$4:$T$5</c:f>
              <c:numCache>
                <c:formatCode>#,##0.00" €"</c:formatCode>
                <c:ptCount val="2"/>
                <c:pt idx="0">
                  <c:v>8929</c:v>
                </c:pt>
                <c:pt idx="1">
                  <c:v>10150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95-474C-BAA8-9B14C8D50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.24600695669595499"/>
          <c:y val="0.86879308494115703"/>
          <c:w val="0.53163293178687998"/>
          <c:h val="6.1838794281844002E-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4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CFAFD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800" b="1" strike="noStrike" spc="-1">
                <a:solidFill>
                  <a:srgbClr val="143371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143371"/>
                </a:solidFill>
                <a:latin typeface="Calibri"/>
              </a:rPr>
              <a:t>Budgetverteilung (geplant)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Übersicht!$C$25</c:f>
              <c:strCache>
                <c:ptCount val="1"/>
                <c:pt idx="0">
                  <c:v>Geplant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0CB8A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A17C-7946-B0B4-2C791FB2C04C}"/>
              </c:ext>
            </c:extLst>
          </c:dPt>
          <c:dPt>
            <c:idx val="1"/>
            <c:bubble3D val="0"/>
            <c:spPr>
              <a:solidFill>
                <a:srgbClr val="1D52A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A17C-7946-B0B4-2C791FB2C04C}"/>
              </c:ext>
            </c:extLst>
          </c:dPt>
          <c:dPt>
            <c:idx val="2"/>
            <c:bubble3D val="0"/>
            <c:spPr>
              <a:solidFill>
                <a:srgbClr val="8E5A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A17C-7946-B0B4-2C791FB2C04C}"/>
              </c:ext>
            </c:extLst>
          </c:dPt>
          <c:dPt>
            <c:idx val="3"/>
            <c:bubble3D val="0"/>
            <c:spPr>
              <a:solidFill>
                <a:srgbClr val="D1495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A17C-7946-B0B4-2C791FB2C04C}"/>
              </c:ext>
            </c:extLst>
          </c:dPt>
          <c:dPt>
            <c:idx val="4"/>
            <c:bubble3D val="0"/>
            <c:spPr>
              <a:solidFill>
                <a:srgbClr val="3CA55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A17C-7946-B0B4-2C791FB2C04C}"/>
              </c:ext>
            </c:extLst>
          </c:dPt>
          <c:dPt>
            <c:idx val="5"/>
            <c:bubble3D val="0"/>
            <c:spPr>
              <a:solidFill>
                <a:srgbClr val="C15FA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A17C-7946-B0B4-2C791FB2C04C}"/>
              </c:ext>
            </c:extLst>
          </c:dPt>
          <c:dPt>
            <c:idx val="6"/>
            <c:bubble3D val="0"/>
            <c:spPr>
              <a:solidFill>
                <a:srgbClr val="E9A23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A17C-7946-B0B4-2C791FB2C04C}"/>
              </c:ext>
            </c:extLst>
          </c:dPt>
          <c:dPt>
            <c:idx val="7"/>
            <c:bubble3D val="0"/>
            <c:spPr>
              <a:solidFill>
                <a:srgbClr val="143371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A17C-7946-B0B4-2C791FB2C04C}"/>
              </c:ext>
            </c:extLst>
          </c:dPt>
          <c:dPt>
            <c:idx val="8"/>
            <c:bubble3D val="0"/>
            <c:spPr>
              <a:solidFill>
                <a:srgbClr val="1B9E8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A17C-7946-B0B4-2C791FB2C04C}"/>
              </c:ext>
            </c:extLst>
          </c:dPt>
          <c:dPt>
            <c:idx val="9"/>
            <c:bubble3D val="0"/>
            <c:spPr>
              <a:solidFill>
                <a:srgbClr val="E8964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A17C-7946-B0B4-2C791FB2C04C}"/>
              </c:ext>
            </c:extLst>
          </c:dPt>
          <c:dPt>
            <c:idx val="10"/>
            <c:bubble3D val="0"/>
            <c:spPr>
              <a:solidFill>
                <a:srgbClr val="6C7A9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5-A17C-7946-B0B4-2C791FB2C04C}"/>
              </c:ext>
            </c:extLst>
          </c:dPt>
          <c:dLbls>
            <c:dLbl>
              <c:idx val="0"/>
              <c:spPr>
                <a:solidFill>
                  <a:srgbClr val="DEF8F5"/>
                </a:solidFill>
                <a:effectLst>
                  <a:softEdge rad="29854"/>
                </a:effectLst>
              </c:spPr>
              <c:txPr>
                <a:bodyPr wrap="square"/>
                <a:lstStyle/>
                <a:p>
                  <a:pPr>
                    <a:defRPr sz="1200" b="1" strike="noStrike" spc="-1">
                      <a:solidFill>
                        <a:srgbClr val="0CB8AE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7C-7946-B0B4-2C791FB2C04C}"/>
                </c:ext>
              </c:extLst>
            </c:dLbl>
            <c:dLbl>
              <c:idx val="1"/>
              <c:spPr>
                <a:solidFill>
                  <a:srgbClr val="DEF8F5"/>
                </a:solidFill>
                <a:effectLst>
                  <a:softEdge rad="29854"/>
                </a:effectLst>
              </c:spPr>
              <c:txPr>
                <a:bodyPr wrap="square"/>
                <a:lstStyle/>
                <a:p>
                  <a:pPr>
                    <a:defRPr sz="1200" b="1" strike="noStrike" spc="-1">
                      <a:solidFill>
                        <a:srgbClr val="1D52AC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7C-7946-B0B4-2C791FB2C04C}"/>
                </c:ext>
              </c:extLst>
            </c:dLbl>
            <c:dLbl>
              <c:idx val="2"/>
              <c:spPr>
                <a:solidFill>
                  <a:srgbClr val="DEF8F5"/>
                </a:solidFill>
                <a:effectLst>
                  <a:softEdge rad="29854"/>
                </a:effectLst>
              </c:spPr>
              <c:txPr>
                <a:bodyPr wrap="square"/>
                <a:lstStyle/>
                <a:p>
                  <a:pPr>
                    <a:defRPr sz="1200" b="1" strike="noStrike" spc="-1">
                      <a:solidFill>
                        <a:srgbClr val="8E5AA8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7C-7946-B0B4-2C791FB2C04C}"/>
                </c:ext>
              </c:extLst>
            </c:dLbl>
            <c:dLbl>
              <c:idx val="3"/>
              <c:spPr>
                <a:solidFill>
                  <a:srgbClr val="DEF8F5"/>
                </a:solidFill>
                <a:effectLst>
                  <a:softEdge rad="29854"/>
                </a:effectLst>
              </c:spPr>
              <c:txPr>
                <a:bodyPr wrap="square"/>
                <a:lstStyle/>
                <a:p>
                  <a:pPr>
                    <a:defRPr sz="1200" b="1" strike="noStrike" spc="-1">
                      <a:solidFill>
                        <a:srgbClr val="D1495B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7C-7946-B0B4-2C791FB2C04C}"/>
                </c:ext>
              </c:extLst>
            </c:dLbl>
            <c:dLbl>
              <c:idx val="4"/>
              <c:spPr>
                <a:solidFill>
                  <a:srgbClr val="DEF8F5"/>
                </a:solidFill>
                <a:effectLst>
                  <a:softEdge rad="29854"/>
                </a:effectLst>
              </c:spPr>
              <c:txPr>
                <a:bodyPr wrap="square"/>
                <a:lstStyle/>
                <a:p>
                  <a:pPr>
                    <a:defRPr sz="1200" b="1" strike="noStrike" spc="-1">
                      <a:solidFill>
                        <a:srgbClr val="3CA55C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7C-7946-B0B4-2C791FB2C04C}"/>
                </c:ext>
              </c:extLst>
            </c:dLbl>
            <c:dLbl>
              <c:idx val="5"/>
              <c:spPr>
                <a:solidFill>
                  <a:srgbClr val="DEF8F5"/>
                </a:solidFill>
                <a:effectLst>
                  <a:softEdge rad="29854"/>
                </a:effectLst>
              </c:spPr>
              <c:txPr>
                <a:bodyPr wrap="square"/>
                <a:lstStyle/>
                <a:p>
                  <a:pPr>
                    <a:defRPr sz="1200" b="1" strike="noStrike" spc="-1">
                      <a:solidFill>
                        <a:srgbClr val="C15FA0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7C-7946-B0B4-2C791FB2C04C}"/>
                </c:ext>
              </c:extLst>
            </c:dLbl>
            <c:dLbl>
              <c:idx val="6"/>
              <c:spPr>
                <a:solidFill>
                  <a:srgbClr val="DEF8F5"/>
                </a:solidFill>
                <a:effectLst>
                  <a:softEdge rad="29854"/>
                </a:effectLst>
              </c:spPr>
              <c:txPr>
                <a:bodyPr wrap="square"/>
                <a:lstStyle/>
                <a:p>
                  <a:pPr>
                    <a:defRPr sz="1200" b="1" strike="noStrike" spc="-1">
                      <a:solidFill>
                        <a:srgbClr val="E9A23B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7C-7946-B0B4-2C791FB2C04C}"/>
                </c:ext>
              </c:extLst>
            </c:dLbl>
            <c:dLbl>
              <c:idx val="7"/>
              <c:spPr>
                <a:solidFill>
                  <a:srgbClr val="DEF8F5"/>
                </a:solidFill>
                <a:effectLst>
                  <a:softEdge rad="29854"/>
                </a:effectLst>
              </c:spPr>
              <c:txPr>
                <a:bodyPr wrap="square"/>
                <a:lstStyle/>
                <a:p>
                  <a:pPr>
                    <a:defRPr sz="1200" b="1" strike="noStrike" spc="-1">
                      <a:solidFill>
                        <a:srgbClr val="143371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7C-7946-B0B4-2C791FB2C04C}"/>
                </c:ext>
              </c:extLst>
            </c:dLbl>
            <c:dLbl>
              <c:idx val="8"/>
              <c:spPr>
                <a:solidFill>
                  <a:srgbClr val="DEF8F5"/>
                </a:solidFill>
                <a:effectLst>
                  <a:softEdge rad="29854"/>
                </a:effectLst>
              </c:spPr>
              <c:txPr>
                <a:bodyPr wrap="square"/>
                <a:lstStyle/>
                <a:p>
                  <a:pPr>
                    <a:defRPr sz="1200" b="1" strike="noStrike" spc="-1">
                      <a:solidFill>
                        <a:srgbClr val="1B9E8F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7C-7946-B0B4-2C791FB2C04C}"/>
                </c:ext>
              </c:extLst>
            </c:dLbl>
            <c:dLbl>
              <c:idx val="9"/>
              <c:spPr>
                <a:solidFill>
                  <a:srgbClr val="DEF8F5"/>
                </a:solidFill>
                <a:effectLst>
                  <a:softEdge rad="29854"/>
                </a:effectLst>
              </c:spPr>
              <c:txPr>
                <a:bodyPr wrap="square"/>
                <a:lstStyle/>
                <a:p>
                  <a:pPr>
                    <a:defRPr sz="1200" b="1" strike="noStrike" spc="-1">
                      <a:solidFill>
                        <a:srgbClr val="E8964A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7C-7946-B0B4-2C791FB2C04C}"/>
                </c:ext>
              </c:extLst>
            </c:dLbl>
            <c:dLbl>
              <c:idx val="10"/>
              <c:spPr>
                <a:solidFill>
                  <a:srgbClr val="DEF8F5"/>
                </a:solidFill>
                <a:effectLst>
                  <a:softEdge rad="29854"/>
                </a:effectLst>
              </c:spPr>
              <c:txPr>
                <a:bodyPr wrap="square"/>
                <a:lstStyle/>
                <a:p>
                  <a:pPr>
                    <a:defRPr sz="1200" b="1" strike="noStrike" spc="-1">
                      <a:solidFill>
                        <a:srgbClr val="6C7A9C"/>
                      </a:solidFill>
                      <a:latin typeface="Calibri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7C-7946-B0B4-2C791FB2C04C}"/>
                </c:ext>
              </c:extLst>
            </c:dLbl>
            <c:spPr>
              <a:solidFill>
                <a:srgbClr val="DEF8F5"/>
              </a:solidFill>
              <a:effectLst>
                <a:softEdge rad="29854"/>
              </a:effectLst>
            </c:spPr>
            <c:txPr>
              <a:bodyPr wrap="square"/>
              <a:lstStyle/>
              <a:p>
                <a:pPr>
                  <a:defRPr sz="12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Übersicht!$U$26:$U$36</c:f>
              <c:strCache>
                <c:ptCount val="11"/>
                <c:pt idx="0">
                  <c:v>Location</c:v>
                </c:pt>
                <c:pt idx="1">
                  <c:v>Kleidung</c:v>
                </c:pt>
                <c:pt idx="2">
                  <c:v>Ringe</c:v>
                </c:pt>
                <c:pt idx="3">
                  <c:v>Foto/Video</c:v>
                </c:pt>
                <c:pt idx="4">
                  <c:v>Musik</c:v>
                </c:pt>
                <c:pt idx="5">
                  <c:v>Blumen/Deko</c:v>
                </c:pt>
                <c:pt idx="6">
                  <c:v>Papeterie</c:v>
                </c:pt>
                <c:pt idx="7">
                  <c:v>Trauung</c:v>
                </c:pt>
                <c:pt idx="8">
                  <c:v>Transport</c:v>
                </c:pt>
                <c:pt idx="9">
                  <c:v>Flitterwochen</c:v>
                </c:pt>
                <c:pt idx="10">
                  <c:v>Sonstiges</c:v>
                </c:pt>
              </c:strCache>
            </c:strRef>
          </c:cat>
          <c:val>
            <c:numRef>
              <c:f>Übersicht!$C$26:$C$36</c:f>
              <c:numCache>
                <c:formatCode>#,##0" €"</c:formatCode>
                <c:ptCount val="11"/>
                <c:pt idx="0">
                  <c:v>7100</c:v>
                </c:pt>
                <c:pt idx="1">
                  <c:v>2870</c:v>
                </c:pt>
                <c:pt idx="2">
                  <c:v>1500</c:v>
                </c:pt>
                <c:pt idx="3">
                  <c:v>2150</c:v>
                </c:pt>
                <c:pt idx="4">
                  <c:v>500</c:v>
                </c:pt>
                <c:pt idx="5">
                  <c:v>1120</c:v>
                </c:pt>
                <c:pt idx="6">
                  <c:v>620</c:v>
                </c:pt>
                <c:pt idx="7">
                  <c:v>399</c:v>
                </c:pt>
                <c:pt idx="8">
                  <c:v>300</c:v>
                </c:pt>
                <c:pt idx="9">
                  <c:v>2120</c:v>
                </c:pt>
                <c:pt idx="10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7C-7946-B0B4-2C791FB2C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ECFAFD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800" b="1" strike="noStrike" spc="-1">
                <a:solidFill>
                  <a:srgbClr val="143371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143371"/>
                </a:solidFill>
                <a:latin typeface="Calibri"/>
              </a:rPr>
              <a:t>Geplante vs. tatsächliche Kosten (pro Kategorie)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03670983789299E-2"/>
          <c:y val="0.15991518803704899"/>
          <c:w val="0.817608714297967"/>
          <c:h val="0.456980247740208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Übersicht!$C$25</c:f>
              <c:strCache>
                <c:ptCount val="1"/>
                <c:pt idx="0">
                  <c:v>Geplant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Übersicht!$B$26:$B$36</c:f>
              <c:strCache>
                <c:ptCount val="11"/>
                <c:pt idx="0">
                  <c:v>Location &amp; Feier</c:v>
                </c:pt>
                <c:pt idx="1">
                  <c:v>Kleidung &amp; Beauty</c:v>
                </c:pt>
                <c:pt idx="2">
                  <c:v>Ringe &amp; Schmuck</c:v>
                </c:pt>
                <c:pt idx="3">
                  <c:v>Foto &amp; Video</c:v>
                </c:pt>
                <c:pt idx="4">
                  <c:v>Musik &amp; Unterhaltung</c:v>
                </c:pt>
                <c:pt idx="5">
                  <c:v>Blumen &amp; Deko</c:v>
                </c:pt>
                <c:pt idx="6">
                  <c:v>Papeterie</c:v>
                </c:pt>
                <c:pt idx="7">
                  <c:v>Trauung</c:v>
                </c:pt>
                <c:pt idx="8">
                  <c:v>Transport &amp; Übernachtung</c:v>
                </c:pt>
                <c:pt idx="9">
                  <c:v>Flitterwochen</c:v>
                </c:pt>
                <c:pt idx="10">
                  <c:v>Sonstiges</c:v>
                </c:pt>
              </c:strCache>
            </c:strRef>
          </c:cat>
          <c:val>
            <c:numRef>
              <c:f>Übersicht!$C$26:$C$36</c:f>
              <c:numCache>
                <c:formatCode>#,##0" €"</c:formatCode>
                <c:ptCount val="11"/>
                <c:pt idx="0">
                  <c:v>7100</c:v>
                </c:pt>
                <c:pt idx="1">
                  <c:v>2870</c:v>
                </c:pt>
                <c:pt idx="2">
                  <c:v>1500</c:v>
                </c:pt>
                <c:pt idx="3">
                  <c:v>2150</c:v>
                </c:pt>
                <c:pt idx="4">
                  <c:v>500</c:v>
                </c:pt>
                <c:pt idx="5">
                  <c:v>1120</c:v>
                </c:pt>
                <c:pt idx="6">
                  <c:v>620</c:v>
                </c:pt>
                <c:pt idx="7">
                  <c:v>399</c:v>
                </c:pt>
                <c:pt idx="8">
                  <c:v>300</c:v>
                </c:pt>
                <c:pt idx="9">
                  <c:v>2120</c:v>
                </c:pt>
                <c:pt idx="10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A7-174C-83DB-3942A1C73C81}"/>
            </c:ext>
          </c:extLst>
        </c:ser>
        <c:ser>
          <c:idx val="1"/>
          <c:order val="1"/>
          <c:tx>
            <c:strRef>
              <c:f>Übersicht!$D$25</c:f>
              <c:strCache>
                <c:ptCount val="1"/>
                <c:pt idx="0">
                  <c:v>Tatsächlich</c:v>
                </c:pt>
              </c:strCache>
            </c:strRef>
          </c:tx>
          <c:spPr>
            <a:solidFill>
              <a:srgbClr val="E8974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Übersicht!$B$26:$B$36</c:f>
              <c:strCache>
                <c:ptCount val="11"/>
                <c:pt idx="0">
                  <c:v>Location &amp; Feier</c:v>
                </c:pt>
                <c:pt idx="1">
                  <c:v>Kleidung &amp; Beauty</c:v>
                </c:pt>
                <c:pt idx="2">
                  <c:v>Ringe &amp; Schmuck</c:v>
                </c:pt>
                <c:pt idx="3">
                  <c:v>Foto &amp; Video</c:v>
                </c:pt>
                <c:pt idx="4">
                  <c:v>Musik &amp; Unterhaltung</c:v>
                </c:pt>
                <c:pt idx="5">
                  <c:v>Blumen &amp; Deko</c:v>
                </c:pt>
                <c:pt idx="6">
                  <c:v>Papeterie</c:v>
                </c:pt>
                <c:pt idx="7">
                  <c:v>Trauung</c:v>
                </c:pt>
                <c:pt idx="8">
                  <c:v>Transport &amp; Übernachtung</c:v>
                </c:pt>
                <c:pt idx="9">
                  <c:v>Flitterwochen</c:v>
                </c:pt>
                <c:pt idx="10">
                  <c:v>Sonstiges</c:v>
                </c:pt>
              </c:strCache>
            </c:strRef>
          </c:cat>
          <c:val>
            <c:numRef>
              <c:f>Übersicht!$D$26:$D$36</c:f>
              <c:numCache>
                <c:formatCode>#,##0" €"</c:formatCode>
                <c:ptCount val="11"/>
                <c:pt idx="0">
                  <c:v>6900</c:v>
                </c:pt>
                <c:pt idx="1">
                  <c:v>1100</c:v>
                </c:pt>
                <c:pt idx="2">
                  <c:v>1350</c:v>
                </c:pt>
                <c:pt idx="3">
                  <c:v>800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A7-174C-83DB-3942A1C73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951897"/>
        <c:axId val="57344307"/>
      </c:barChart>
      <c:catAx>
        <c:axId val="1195189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7344307"/>
        <c:crosses val="autoZero"/>
        <c:auto val="1"/>
        <c:lblAlgn val="ctr"/>
        <c:lblOffset val="100"/>
        <c:noMultiLvlLbl val="0"/>
      </c:catAx>
      <c:valAx>
        <c:axId val="5734430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dash"/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1951897"/>
        <c:crosses val="autoZero"/>
        <c:crossBetween val="between"/>
      </c:valAx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89190600441333601"/>
          <c:y val="0.18424377250844801"/>
          <c:w val="0.101070617248776"/>
          <c:h val="0.320579230541575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2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CFAFD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153720</xdr:colOff>
      <xdr:row>4</xdr:row>
      <xdr:rowOff>322920</xdr:rowOff>
    </xdr:from>
    <xdr:to>
      <xdr:col>12</xdr:col>
      <xdr:colOff>212400</xdr:colOff>
      <xdr:row>19</xdr:row>
      <xdr:rowOff>92620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318960</xdr:colOff>
      <xdr:row>4</xdr:row>
      <xdr:rowOff>323640</xdr:rowOff>
    </xdr:from>
    <xdr:to>
      <xdr:col>21</xdr:col>
      <xdr:colOff>441000</xdr:colOff>
      <xdr:row>20</xdr:row>
      <xdr:rowOff>185740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1080</xdr:colOff>
      <xdr:row>24</xdr:row>
      <xdr:rowOff>6120</xdr:rowOff>
    </xdr:from>
    <xdr:to>
      <xdr:col>21</xdr:col>
      <xdr:colOff>453960</xdr:colOff>
      <xdr:row>37</xdr:row>
      <xdr:rowOff>60120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252360</xdr:colOff>
      <xdr:row>2</xdr:row>
      <xdr:rowOff>60840</xdr:rowOff>
    </xdr:from>
    <xdr:to>
      <xdr:col>2</xdr:col>
      <xdr:colOff>226440</xdr:colOff>
      <xdr:row>3</xdr:row>
      <xdr:rowOff>483840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28760" y="413280"/>
          <a:ext cx="1665720" cy="927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43371"/>
    <pageSetUpPr fitToPage="1"/>
  </sheetPr>
  <dimension ref="A1:IN41"/>
  <sheetViews>
    <sheetView showGridLines="0" tabSelected="1" topLeftCell="A3" zoomScale="75" zoomScaleNormal="100" workbookViewId="0">
      <selection activeCell="W18" sqref="W18"/>
    </sheetView>
  </sheetViews>
  <sheetFormatPr baseColWidth="10" defaultColWidth="8.6640625" defaultRowHeight="15" x14ac:dyDescent="0.2"/>
  <cols>
    <col min="1" max="1" width="2.5" customWidth="1"/>
    <col min="2" max="2" width="24" customWidth="1"/>
    <col min="3" max="7" width="16" customWidth="1"/>
    <col min="8" max="8" width="3" customWidth="1"/>
  </cols>
  <sheetData>
    <row r="1" spans="1:248" s="2" customFormat="1" ht="15" customHeight="1" x14ac:dyDescent="0.2"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</row>
    <row r="2" spans="1:248" s="2" customFormat="1" ht="12.75" customHeight="1" x14ac:dyDescent="0.2"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</row>
    <row r="3" spans="1:248" s="2" customFormat="1" ht="39.75" customHeight="1" x14ac:dyDescent="0.2">
      <c r="D3" s="125" t="s">
        <v>0</v>
      </c>
      <c r="E3" s="125"/>
      <c r="F3" s="125"/>
      <c r="G3" s="125"/>
      <c r="H3" s="125"/>
      <c r="S3" s="3" t="s">
        <v>1</v>
      </c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</row>
    <row r="4" spans="1:248" s="2" customFormat="1" ht="51.75" customHeight="1" x14ac:dyDescent="0.2">
      <c r="A4" s="86"/>
      <c r="B4" s="86"/>
      <c r="C4" s="86"/>
      <c r="D4" s="126" t="s">
        <v>2</v>
      </c>
      <c r="E4" s="126"/>
      <c r="F4" s="126"/>
      <c r="G4" s="126"/>
      <c r="H4" s="126"/>
      <c r="I4" s="86"/>
      <c r="J4" s="86"/>
      <c r="K4" s="86"/>
      <c r="L4" s="86"/>
      <c r="M4" s="86"/>
      <c r="N4" s="86"/>
      <c r="O4" s="86"/>
      <c r="P4" s="86"/>
      <c r="Q4" s="86"/>
      <c r="R4" s="86"/>
      <c r="S4" s="87" t="s">
        <v>3</v>
      </c>
      <c r="T4" s="88">
        <f>Budgetplaner!D48-Budgetplaner!E48</f>
        <v>8929</v>
      </c>
      <c r="U4" s="86"/>
      <c r="V4" s="86"/>
      <c r="W4" s="86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</row>
    <row r="5" spans="1:248" s="1" customFormat="1" ht="27" customHeight="1" x14ac:dyDescent="0.2">
      <c r="A5" s="90"/>
      <c r="B5" s="85"/>
      <c r="C5" s="85"/>
      <c r="D5" s="84"/>
      <c r="E5" s="84"/>
      <c r="F5" s="89"/>
      <c r="G5" s="89"/>
      <c r="H5" s="89"/>
      <c r="I5" s="90"/>
      <c r="J5" s="90"/>
      <c r="K5" s="90"/>
      <c r="L5" s="90"/>
      <c r="M5" s="90"/>
      <c r="N5" s="90"/>
      <c r="O5" s="90"/>
      <c r="P5" s="90"/>
      <c r="Q5" s="90"/>
      <c r="R5" s="90"/>
      <c r="S5" s="91" t="s">
        <v>4</v>
      </c>
      <c r="T5" s="92">
        <f>Budgetplaner!E48</f>
        <v>10150</v>
      </c>
      <c r="U5" s="90"/>
      <c r="V5" s="90"/>
      <c r="W5" s="90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</row>
    <row r="6" spans="1:248" s="1" customFormat="1" ht="43.5" customHeight="1" x14ac:dyDescent="0.2">
      <c r="A6" s="90"/>
      <c r="B6" s="127" t="s">
        <v>217</v>
      </c>
      <c r="C6" s="127"/>
      <c r="D6" s="127"/>
      <c r="E6" s="127"/>
      <c r="F6" s="89"/>
      <c r="H6" s="90"/>
      <c r="I6" s="90"/>
      <c r="J6" s="90"/>
      <c r="K6" s="90"/>
      <c r="L6" s="90"/>
      <c r="M6" s="90"/>
      <c r="Q6" s="4"/>
      <c r="R6" s="5"/>
      <c r="V6" s="90"/>
      <c r="W6" s="90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</row>
    <row r="7" spans="1:248" s="1" customFormat="1" ht="27" customHeight="1" x14ac:dyDescent="0.2">
      <c r="A7" s="90"/>
      <c r="B7" s="127"/>
      <c r="C7" s="127"/>
      <c r="D7" s="127"/>
      <c r="E7" s="127"/>
      <c r="F7" s="89"/>
      <c r="H7" s="90"/>
      <c r="I7" s="90"/>
      <c r="J7" s="90"/>
      <c r="K7" s="90"/>
      <c r="L7" s="90"/>
      <c r="M7" s="90"/>
      <c r="Q7" s="4"/>
      <c r="R7" s="5"/>
      <c r="V7" s="90"/>
      <c r="W7" s="90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</row>
    <row r="8" spans="1:248" s="1" customFormat="1" ht="50" customHeight="1" x14ac:dyDescent="0.2">
      <c r="A8" s="90"/>
      <c r="B8" s="127"/>
      <c r="C8" s="127"/>
      <c r="D8" s="127"/>
      <c r="E8" s="127"/>
      <c r="F8" s="90"/>
      <c r="H8" s="90"/>
      <c r="I8" s="90"/>
      <c r="J8" s="90"/>
      <c r="K8" s="90"/>
      <c r="L8" s="90"/>
      <c r="M8" s="90"/>
      <c r="Q8" s="4"/>
      <c r="R8" s="5"/>
      <c r="V8" s="90"/>
      <c r="W8" s="90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</row>
    <row r="9" spans="1:248" s="1" customFormat="1" ht="15" customHeight="1" x14ac:dyDescent="0.2">
      <c r="A9" s="90"/>
      <c r="B9" s="99"/>
      <c r="C9" s="99"/>
      <c r="D9" s="99"/>
      <c r="E9" s="99"/>
      <c r="F9" s="90"/>
      <c r="H9" s="90"/>
      <c r="I9" s="90"/>
      <c r="J9" s="90"/>
      <c r="K9" s="90"/>
      <c r="L9" s="90"/>
      <c r="M9" s="90"/>
      <c r="Q9" s="4"/>
      <c r="R9" s="5"/>
      <c r="V9" s="90"/>
      <c r="W9" s="90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</row>
    <row r="10" spans="1:248" s="1" customFormat="1" ht="18.75" customHeight="1" x14ac:dyDescent="0.2">
      <c r="A10" s="90"/>
      <c r="B10" s="119" t="s">
        <v>5</v>
      </c>
      <c r="C10" s="119"/>
      <c r="D10" s="119"/>
      <c r="E10" s="119"/>
      <c r="F10" s="90"/>
      <c r="H10" s="90"/>
      <c r="I10" s="90"/>
      <c r="J10" s="90"/>
      <c r="K10" s="90"/>
      <c r="L10" s="90"/>
      <c r="M10" s="90"/>
      <c r="V10" s="90"/>
      <c r="W10" s="9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</row>
    <row r="11" spans="1:248" s="1" customFormat="1" ht="6" customHeight="1" x14ac:dyDescent="0.2">
      <c r="A11" s="90"/>
      <c r="B11" s="100"/>
      <c r="C11" s="100"/>
      <c r="D11" s="100"/>
      <c r="E11" s="100"/>
      <c r="F11" s="90"/>
      <c r="H11" s="90"/>
      <c r="I11" s="90"/>
      <c r="J11" s="90"/>
      <c r="K11" s="90"/>
      <c r="L11" s="90"/>
      <c r="M11" s="90"/>
      <c r="V11" s="90"/>
      <c r="W11" s="90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</row>
    <row r="12" spans="1:248" s="1" customFormat="1" ht="15.75" customHeight="1" x14ac:dyDescent="0.2">
      <c r="A12" s="90"/>
      <c r="B12" s="128" t="s">
        <v>6</v>
      </c>
      <c r="C12" s="128"/>
      <c r="D12" s="128"/>
      <c r="E12" s="128"/>
      <c r="F12" s="90"/>
      <c r="H12" s="90"/>
      <c r="I12" s="90"/>
      <c r="J12" s="90"/>
      <c r="K12" s="90"/>
      <c r="L12" s="90"/>
      <c r="M12" s="90"/>
      <c r="V12" s="90"/>
      <c r="W12" s="90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</row>
    <row r="13" spans="1:248" s="1" customFormat="1" ht="30" customHeight="1" x14ac:dyDescent="0.2">
      <c r="A13" s="90"/>
      <c r="B13" s="120">
        <f>Budgetplaner!D48</f>
        <v>19079</v>
      </c>
      <c r="C13" s="120"/>
      <c r="D13" s="120"/>
      <c r="E13" s="120"/>
      <c r="F13" s="90"/>
      <c r="H13" s="90"/>
      <c r="I13" s="90"/>
      <c r="J13" s="90"/>
      <c r="K13" s="90"/>
      <c r="L13" s="90"/>
      <c r="M13" s="90"/>
      <c r="V13" s="90"/>
      <c r="W13" s="90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</row>
    <row r="14" spans="1:248" s="1" customFormat="1" ht="24.75" customHeight="1" x14ac:dyDescent="0.2">
      <c r="A14" s="90"/>
      <c r="B14" s="121" t="s">
        <v>7</v>
      </c>
      <c r="C14" s="121"/>
      <c r="D14" s="122" t="s">
        <v>8</v>
      </c>
      <c r="E14" s="122"/>
      <c r="F14" s="90"/>
      <c r="H14" s="90"/>
      <c r="I14" s="90"/>
      <c r="J14" s="90"/>
      <c r="K14" s="90"/>
      <c r="L14" s="90"/>
      <c r="M14" s="90"/>
      <c r="V14" s="90"/>
      <c r="W14" s="90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</row>
    <row r="15" spans="1:248" s="1" customFormat="1" ht="27.75" customHeight="1" x14ac:dyDescent="0.2">
      <c r="A15" s="90"/>
      <c r="B15" s="123">
        <f>Budgetplaner!D48-Budgetplaner!E48</f>
        <v>8929</v>
      </c>
      <c r="C15" s="123"/>
      <c r="D15" s="124">
        <f>Budgetplaner!E48</f>
        <v>10150</v>
      </c>
      <c r="E15" s="124"/>
      <c r="F15" s="90"/>
      <c r="H15" s="90"/>
      <c r="I15" s="90"/>
      <c r="J15" s="90"/>
      <c r="K15" s="90"/>
      <c r="L15" s="90"/>
      <c r="M15" s="90"/>
      <c r="V15" s="90"/>
      <c r="W15" s="90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</row>
    <row r="16" spans="1:248" s="1" customFormat="1" ht="25.5" customHeight="1" x14ac:dyDescent="0.2">
      <c r="A16" s="90"/>
      <c r="B16" s="115" t="s">
        <v>9</v>
      </c>
      <c r="C16" s="115"/>
      <c r="D16" s="116" t="s">
        <v>10</v>
      </c>
      <c r="E16" s="116"/>
      <c r="F16" s="90"/>
      <c r="H16" s="90"/>
      <c r="I16" s="90"/>
      <c r="J16" s="90"/>
      <c r="K16" s="90"/>
      <c r="L16" s="90"/>
      <c r="M16" s="90"/>
      <c r="V16" s="90"/>
      <c r="W16" s="90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</row>
    <row r="17" spans="1:248" s="1" customFormat="1" ht="27.75" customHeight="1" x14ac:dyDescent="0.2">
      <c r="A17" s="90"/>
      <c r="B17" s="117">
        <f>Budgetplaner!G48</f>
        <v>3950</v>
      </c>
      <c r="C17" s="117"/>
      <c r="D17" s="118">
        <f>Budgetplaner!E48-Budgetplaner!G48</f>
        <v>6200</v>
      </c>
      <c r="E17" s="118"/>
      <c r="F17" s="90"/>
      <c r="G17" s="90"/>
      <c r="H17" s="90"/>
      <c r="I17" s="90"/>
      <c r="J17" s="90"/>
      <c r="K17" s="90"/>
      <c r="L17" s="90"/>
      <c r="M17" s="90"/>
      <c r="V17" s="90"/>
      <c r="W17" s="90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</row>
    <row r="18" spans="1:248" s="1" customFormat="1" ht="7.5" customHeight="1" x14ac:dyDescent="0.2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V18" s="90"/>
      <c r="W18" s="90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</row>
    <row r="19" spans="1:248" s="1" customFormat="1" ht="7.5" customHeight="1" x14ac:dyDescent="0.2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V19" s="90"/>
      <c r="W19" s="90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</row>
    <row r="20" spans="1:248" s="1" customFormat="1" ht="15.75" customHeight="1" x14ac:dyDescent="0.2">
      <c r="A20" s="90"/>
      <c r="B20" s="119" t="s">
        <v>11</v>
      </c>
      <c r="C20" s="119"/>
      <c r="D20" s="119"/>
      <c r="E20" s="119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</row>
    <row r="21" spans="1:248" s="1" customFormat="1" ht="21.75" customHeight="1" x14ac:dyDescent="0.2">
      <c r="A21" s="90"/>
      <c r="B21" s="96" t="s">
        <v>12</v>
      </c>
      <c r="C21" s="97">
        <f>IF(Budgetplaner!D48=0,0,Budgetplaner!E48/Budgetplaner!D48)</f>
        <v>0.53199853241784156</v>
      </c>
      <c r="D21" s="113">
        <f>C21</f>
        <v>0.53199853241784156</v>
      </c>
      <c r="E21" s="113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</row>
    <row r="22" spans="1:248" s="1" customFormat="1" ht="21.75" customHeight="1" x14ac:dyDescent="0.2">
      <c r="A22" s="90"/>
      <c r="B22" s="96" t="s">
        <v>13</v>
      </c>
      <c r="C22" s="98">
        <f>IF(Budgetplaner!E48=0,0,Budgetplaner!G48/Budgetplaner!E48)</f>
        <v>0.3891625615763547</v>
      </c>
      <c r="D22" s="113">
        <f>C22</f>
        <v>0.3891625615763547</v>
      </c>
      <c r="E22" s="113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</row>
    <row r="23" spans="1:248" s="1" customFormat="1" x14ac:dyDescent="0.2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</row>
    <row r="24" spans="1:248" s="1" customFormat="1" ht="22.5" customHeight="1" x14ac:dyDescent="0.2">
      <c r="A24" s="90"/>
      <c r="B24" s="114" t="s">
        <v>14</v>
      </c>
      <c r="C24" s="114"/>
      <c r="D24" s="114"/>
      <c r="E24" s="114"/>
      <c r="F24" s="114"/>
      <c r="G24" s="114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</row>
    <row r="25" spans="1:248" s="1" customFormat="1" ht="21.75" customHeight="1" x14ac:dyDescent="0.2">
      <c r="A25" s="90"/>
      <c r="B25" s="6" t="s">
        <v>15</v>
      </c>
      <c r="C25" s="7" t="s">
        <v>16</v>
      </c>
      <c r="D25" s="7" t="s">
        <v>17</v>
      </c>
      <c r="E25" s="7" t="s">
        <v>18</v>
      </c>
      <c r="F25" s="7" t="s">
        <v>19</v>
      </c>
      <c r="G25" s="7" t="s">
        <v>20</v>
      </c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</row>
    <row r="26" spans="1:248" s="1" customFormat="1" ht="18.75" customHeight="1" x14ac:dyDescent="0.2">
      <c r="A26" s="90"/>
      <c r="B26" s="8" t="s">
        <v>21</v>
      </c>
      <c r="C26" s="9">
        <f>SUMIF(Budgetplaner!$B:$B,$B26,Budgetplaner!D:D)</f>
        <v>7100</v>
      </c>
      <c r="D26" s="9">
        <f>SUMIF(Budgetplaner!$B:$B,$B26,Budgetplaner!E:E)</f>
        <v>6900</v>
      </c>
      <c r="E26" s="9">
        <f t="shared" ref="E26:E36" si="0">C26-D26</f>
        <v>200</v>
      </c>
      <c r="F26" s="9">
        <f>SUMIF(Budgetplaner!$B:$B,$B26,Budgetplaner!G:G)</f>
        <v>2000</v>
      </c>
      <c r="G26" s="10">
        <f t="shared" ref="G26:G36" si="1">D26-F26</f>
        <v>4900</v>
      </c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5" t="s">
        <v>22</v>
      </c>
      <c r="V26" s="90"/>
      <c r="W26" s="90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</row>
    <row r="27" spans="1:248" s="1" customFormat="1" ht="18.75" customHeight="1" x14ac:dyDescent="0.2">
      <c r="A27" s="90"/>
      <c r="B27" s="11" t="s">
        <v>23</v>
      </c>
      <c r="C27" s="12">
        <f>SUMIF(Budgetplaner!$B:$B,$B27,Budgetplaner!D:D)</f>
        <v>2870</v>
      </c>
      <c r="D27" s="12">
        <f>SUMIF(Budgetplaner!$B:$B,$B27,Budgetplaner!E:E)</f>
        <v>1100</v>
      </c>
      <c r="E27" s="12">
        <f t="shared" si="0"/>
        <v>1770</v>
      </c>
      <c r="F27" s="12">
        <f>SUMIF(Budgetplaner!$B:$B,$B27,Budgetplaner!G:G)</f>
        <v>1650</v>
      </c>
      <c r="G27" s="13">
        <f t="shared" si="1"/>
        <v>-550</v>
      </c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5" t="s">
        <v>24</v>
      </c>
      <c r="V27" s="90"/>
      <c r="W27" s="90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</row>
    <row r="28" spans="1:248" s="1" customFormat="1" ht="18.75" customHeight="1" x14ac:dyDescent="0.2">
      <c r="A28" s="90"/>
      <c r="B28" s="8" t="s">
        <v>25</v>
      </c>
      <c r="C28" s="9">
        <f>SUMIF(Budgetplaner!$B:$B,$B28,Budgetplaner!D:D)</f>
        <v>1500</v>
      </c>
      <c r="D28" s="9">
        <f>SUMIF(Budgetplaner!$B:$B,$B28,Budgetplaner!E:E)</f>
        <v>1350</v>
      </c>
      <c r="E28" s="9">
        <f t="shared" si="0"/>
        <v>150</v>
      </c>
      <c r="F28" s="9">
        <f>SUMIF(Budgetplaner!$B:$B,$B28,Budgetplaner!G:G)</f>
        <v>0</v>
      </c>
      <c r="G28" s="10">
        <f t="shared" si="1"/>
        <v>1350</v>
      </c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5" t="s">
        <v>26</v>
      </c>
      <c r="V28" s="90"/>
      <c r="W28" s="90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</row>
    <row r="29" spans="1:248" s="1" customFormat="1" ht="18.75" customHeight="1" x14ac:dyDescent="0.2">
      <c r="A29" s="90"/>
      <c r="B29" s="11" t="s">
        <v>27</v>
      </c>
      <c r="C29" s="12">
        <f>SUMIF(Budgetplaner!$B:$B,$B29,Budgetplaner!D:D)</f>
        <v>2150</v>
      </c>
      <c r="D29" s="12">
        <f>SUMIF(Budgetplaner!$B:$B,$B29,Budgetplaner!E:E)</f>
        <v>800</v>
      </c>
      <c r="E29" s="12">
        <f t="shared" si="0"/>
        <v>1350</v>
      </c>
      <c r="F29" s="12">
        <f>SUMIF(Budgetplaner!$B:$B,$B29,Budgetplaner!G:G)</f>
        <v>300</v>
      </c>
      <c r="G29" s="13">
        <f t="shared" si="1"/>
        <v>500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5" t="s">
        <v>28</v>
      </c>
      <c r="V29" s="90"/>
      <c r="W29" s="90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</row>
    <row r="30" spans="1:248" s="1" customFormat="1" ht="18.75" customHeight="1" x14ac:dyDescent="0.2">
      <c r="A30" s="90"/>
      <c r="B30" s="8" t="s">
        <v>29</v>
      </c>
      <c r="C30" s="9">
        <f>SUMIF(Budgetplaner!$B:$B,$B30,Budgetplaner!D:D)</f>
        <v>500</v>
      </c>
      <c r="D30" s="9">
        <f>SUMIF(Budgetplaner!$B:$B,$B30,Budgetplaner!E:E)</f>
        <v>0</v>
      </c>
      <c r="E30" s="9">
        <f t="shared" si="0"/>
        <v>500</v>
      </c>
      <c r="F30" s="9">
        <f>SUMIF(Budgetplaner!$B:$B,$B30,Budgetplaner!G:G)</f>
        <v>0</v>
      </c>
      <c r="G30" s="10">
        <f t="shared" si="1"/>
        <v>0</v>
      </c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5" t="s">
        <v>30</v>
      </c>
      <c r="V30" s="90"/>
      <c r="W30" s="9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</row>
    <row r="31" spans="1:248" s="1" customFormat="1" ht="18.75" customHeight="1" x14ac:dyDescent="0.2">
      <c r="A31" s="90"/>
      <c r="B31" s="11" t="s">
        <v>31</v>
      </c>
      <c r="C31" s="12">
        <f>SUMIF(Budgetplaner!$B:$B,$B31,Budgetplaner!D:D)</f>
        <v>1120</v>
      </c>
      <c r="D31" s="12">
        <f>SUMIF(Budgetplaner!$B:$B,$B31,Budgetplaner!E:E)</f>
        <v>0</v>
      </c>
      <c r="E31" s="12">
        <f t="shared" si="0"/>
        <v>1120</v>
      </c>
      <c r="F31" s="12">
        <f>SUMIF(Budgetplaner!$B:$B,$B31,Budgetplaner!G:G)</f>
        <v>0</v>
      </c>
      <c r="G31" s="13">
        <f t="shared" si="1"/>
        <v>0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5" t="s">
        <v>32</v>
      </c>
      <c r="V31" s="90"/>
      <c r="W31" s="90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</row>
    <row r="32" spans="1:248" s="1" customFormat="1" ht="18.75" customHeight="1" x14ac:dyDescent="0.2">
      <c r="A32" s="90"/>
      <c r="B32" s="8" t="s">
        <v>33</v>
      </c>
      <c r="C32" s="9">
        <f>SUMIF(Budgetplaner!$B:$B,$B32,Budgetplaner!D:D)</f>
        <v>620</v>
      </c>
      <c r="D32" s="9">
        <f>SUMIF(Budgetplaner!$B:$B,$B32,Budgetplaner!E:E)</f>
        <v>0</v>
      </c>
      <c r="E32" s="9">
        <f t="shared" si="0"/>
        <v>620</v>
      </c>
      <c r="F32" s="9">
        <f>SUMIF(Budgetplaner!$B:$B,$B32,Budgetplaner!G:G)</f>
        <v>0</v>
      </c>
      <c r="G32" s="10">
        <f t="shared" si="1"/>
        <v>0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5" t="s">
        <v>33</v>
      </c>
      <c r="V32" s="90"/>
      <c r="W32" s="90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</row>
    <row r="33" spans="1:248" s="1" customFormat="1" ht="18.75" customHeight="1" x14ac:dyDescent="0.2">
      <c r="A33" s="90"/>
      <c r="B33" s="11" t="s">
        <v>34</v>
      </c>
      <c r="C33" s="12">
        <f>SUMIF(Budgetplaner!$B:$B,$B33,Budgetplaner!D:D)</f>
        <v>399</v>
      </c>
      <c r="D33" s="12">
        <f>SUMIF(Budgetplaner!$B:$B,$B33,Budgetplaner!E:E)</f>
        <v>0</v>
      </c>
      <c r="E33" s="12">
        <f t="shared" si="0"/>
        <v>399</v>
      </c>
      <c r="F33" s="12">
        <f>SUMIF(Budgetplaner!$B:$B,$B33,Budgetplaner!G:G)</f>
        <v>0</v>
      </c>
      <c r="G33" s="13">
        <f t="shared" si="1"/>
        <v>0</v>
      </c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5" t="s">
        <v>34</v>
      </c>
      <c r="V33" s="90"/>
      <c r="W33" s="90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</row>
    <row r="34" spans="1:248" s="1" customFormat="1" ht="18.75" customHeight="1" x14ac:dyDescent="0.2">
      <c r="A34" s="90"/>
      <c r="B34" s="8" t="s">
        <v>35</v>
      </c>
      <c r="C34" s="9">
        <f>SUMIF(Budgetplaner!$B:$B,$B34,Budgetplaner!D:D)</f>
        <v>300</v>
      </c>
      <c r="D34" s="9">
        <f>SUMIF(Budgetplaner!$B:$B,$B34,Budgetplaner!E:E)</f>
        <v>0</v>
      </c>
      <c r="E34" s="9">
        <f t="shared" si="0"/>
        <v>300</v>
      </c>
      <c r="F34" s="9">
        <f>SUMIF(Budgetplaner!$B:$B,$B34,Budgetplaner!G:G)</f>
        <v>0</v>
      </c>
      <c r="G34" s="10">
        <f t="shared" si="1"/>
        <v>0</v>
      </c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5" t="s">
        <v>36</v>
      </c>
      <c r="V34" s="90"/>
      <c r="W34" s="90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</row>
    <row r="35" spans="1:248" s="1" customFormat="1" ht="18.75" customHeight="1" x14ac:dyDescent="0.2">
      <c r="A35" s="90"/>
      <c r="B35" s="11" t="s">
        <v>37</v>
      </c>
      <c r="C35" s="12">
        <f>SUMIF(Budgetplaner!$B:$B,$B35,Budgetplaner!D:D)</f>
        <v>2120</v>
      </c>
      <c r="D35" s="12">
        <f>SUMIF(Budgetplaner!$B:$B,$B35,Budgetplaner!E:E)</f>
        <v>0</v>
      </c>
      <c r="E35" s="12">
        <f t="shared" si="0"/>
        <v>2120</v>
      </c>
      <c r="F35" s="12">
        <f>SUMIF(Budgetplaner!$B:$B,$B35,Budgetplaner!G:G)</f>
        <v>0</v>
      </c>
      <c r="G35" s="13">
        <f t="shared" si="1"/>
        <v>0</v>
      </c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5" t="s">
        <v>37</v>
      </c>
      <c r="V35" s="90"/>
      <c r="W35" s="90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</row>
    <row r="36" spans="1:248" s="1" customFormat="1" ht="18.75" customHeight="1" x14ac:dyDescent="0.2">
      <c r="A36" s="90"/>
      <c r="B36" s="8" t="s">
        <v>38</v>
      </c>
      <c r="C36" s="9">
        <f>SUMIF(Budgetplaner!$B:$B,$B36,Budgetplaner!D:D)</f>
        <v>400</v>
      </c>
      <c r="D36" s="9">
        <f>SUMIF(Budgetplaner!$B:$B,$B36,Budgetplaner!E:E)</f>
        <v>0</v>
      </c>
      <c r="E36" s="9">
        <f t="shared" si="0"/>
        <v>400</v>
      </c>
      <c r="F36" s="9">
        <f>SUMIF(Budgetplaner!$B:$B,$B36,Budgetplaner!G:G)</f>
        <v>0</v>
      </c>
      <c r="G36" s="10">
        <f t="shared" si="1"/>
        <v>0</v>
      </c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5" t="s">
        <v>38</v>
      </c>
      <c r="V36" s="90"/>
      <c r="W36" s="90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</row>
    <row r="37" spans="1:248" s="1" customFormat="1" ht="21.75" customHeight="1" x14ac:dyDescent="0.2">
      <c r="A37" s="90"/>
      <c r="B37" s="14" t="s">
        <v>39</v>
      </c>
      <c r="C37" s="15">
        <f>SUM(C26:C36)</f>
        <v>19079</v>
      </c>
      <c r="D37" s="15">
        <f>SUM(D26:D36)</f>
        <v>10150</v>
      </c>
      <c r="E37" s="15">
        <f>SUM(E26:E36)</f>
        <v>8929</v>
      </c>
      <c r="F37" s="15">
        <f>SUM(F26:F36)</f>
        <v>3950</v>
      </c>
      <c r="G37" s="16">
        <f>SUM(G26:G36)</f>
        <v>6200</v>
      </c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</row>
    <row r="38" spans="1:248" s="1" customFormat="1" x14ac:dyDescent="0.2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</row>
    <row r="39" spans="1:248" s="1" customFormat="1" x14ac:dyDescent="0.2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</row>
    <row r="40" spans="1:248" ht="15" customHeight="1" x14ac:dyDescent="0.2">
      <c r="B40" s="93"/>
    </row>
    <row r="41" spans="1:248" ht="18.75" customHeight="1" x14ac:dyDescent="0.2">
      <c r="B41" s="94"/>
    </row>
  </sheetData>
  <mergeCells count="18">
    <mergeCell ref="D3:H3"/>
    <mergeCell ref="D4:H4"/>
    <mergeCell ref="B6:E8"/>
    <mergeCell ref="B10:E10"/>
    <mergeCell ref="B12:E12"/>
    <mergeCell ref="B13:E13"/>
    <mergeCell ref="B14:C14"/>
    <mergeCell ref="D14:E14"/>
    <mergeCell ref="B15:C15"/>
    <mergeCell ref="D15:E15"/>
    <mergeCell ref="D21:E21"/>
    <mergeCell ref="D22:E22"/>
    <mergeCell ref="B24:G24"/>
    <mergeCell ref="B16:C16"/>
    <mergeCell ref="D16:E16"/>
    <mergeCell ref="B17:C17"/>
    <mergeCell ref="D17:E17"/>
    <mergeCell ref="B20:E20"/>
  </mergeCells>
  <conditionalFormatting sqref="D21">
    <cfRule type="dataBar" priority="2">
      <dataBar showValue="0">
        <cfvo type="num" val="0"/>
        <cfvo type="num" val="1"/>
        <color rgb="FF0CB8AE"/>
      </dataBar>
      <extLst>
        <ext xmlns:x14="http://schemas.microsoft.com/office/spreadsheetml/2009/9/main" uri="{B025F937-C7B1-47D3-B67F-A62EFF666E3E}">
          <x14:id>{415D5184-E184-46F1-B432-7F8939CA54A5}</x14:id>
        </ext>
      </extLst>
    </cfRule>
  </conditionalFormatting>
  <conditionalFormatting sqref="D22">
    <cfRule type="dataBar" priority="3">
      <dataBar showValue="0">
        <cfvo type="num" val="0"/>
        <cfvo type="num" val="1"/>
        <color rgb="FF1D52AC"/>
      </dataBar>
      <extLst>
        <ext xmlns:x14="http://schemas.microsoft.com/office/spreadsheetml/2009/9/main" uri="{B025F937-C7B1-47D3-B67F-A62EFF666E3E}">
          <x14:id>{F2408D65-429E-43CF-8AE5-E17B7AF3C200}</x14:id>
        </ext>
      </extLst>
    </cfRule>
  </conditionalFormatting>
  <pageMargins left="0.3" right="0.3" top="0.4" bottom="0.4" header="0.511811023622047" footer="0.511811023622047"/>
  <pageSetup fitToHeight="0"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15D5184-E184-46F1-B432-7F8939CA54A5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0CB8AE"/>
            </x14:dataBar>
          </x14:cfRule>
          <xm:sqref>D21</xm:sqref>
        </x14:conditionalFormatting>
        <x14:conditionalFormatting xmlns:xm="http://schemas.microsoft.com/office/excel/2006/main">
          <x14:cfRule type="dataBar" id="{F2408D65-429E-43CF-8AE5-E17B7AF3C200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1D52AC"/>
            </x14:dataBar>
          </x14:cfRule>
          <xm:sqref>D22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CB8AE"/>
    <pageSetUpPr fitToPage="1"/>
  </sheetPr>
  <dimension ref="B1:L48"/>
  <sheetViews>
    <sheetView showGridLines="0" zoomScaleNormal="10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H35" sqref="H35"/>
    </sheetView>
  </sheetViews>
  <sheetFormatPr baseColWidth="10" defaultColWidth="8.6640625" defaultRowHeight="15" x14ac:dyDescent="0.2"/>
  <cols>
    <col min="1" max="1" width="2.5" customWidth="1"/>
    <col min="2" max="2" width="20" customWidth="1"/>
    <col min="3" max="3" width="26" customWidth="1"/>
    <col min="4" max="9" width="13" customWidth="1"/>
    <col min="10" max="10" width="20" customWidth="1"/>
    <col min="11" max="11" width="14" customWidth="1"/>
    <col min="12" max="12" width="26" customWidth="1"/>
  </cols>
  <sheetData>
    <row r="1" spans="2:12" ht="30" customHeight="1" x14ac:dyDescent="0.2">
      <c r="B1" s="129" t="s">
        <v>40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2:12" ht="13.5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2" ht="25.5" customHeight="1" x14ac:dyDescent="0.2">
      <c r="B3" s="130" t="s">
        <v>41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12" ht="22.5" customHeight="1" x14ac:dyDescent="0.2">
      <c r="B4" s="18" t="s">
        <v>42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6" spans="2:12" ht="25.5" customHeight="1" x14ac:dyDescent="0.2">
      <c r="B6" s="19" t="s">
        <v>15</v>
      </c>
      <c r="C6" s="20" t="s">
        <v>43</v>
      </c>
      <c r="D6" s="21" t="s">
        <v>44</v>
      </c>
      <c r="E6" s="21" t="s">
        <v>17</v>
      </c>
      <c r="F6" s="21" t="s">
        <v>18</v>
      </c>
      <c r="G6" s="21" t="s">
        <v>19</v>
      </c>
      <c r="H6" s="21" t="s">
        <v>20</v>
      </c>
      <c r="I6" s="21" t="s">
        <v>45</v>
      </c>
      <c r="J6" s="20" t="s">
        <v>46</v>
      </c>
      <c r="K6" s="21" t="s">
        <v>47</v>
      </c>
      <c r="L6" s="22" t="s">
        <v>48</v>
      </c>
    </row>
    <row r="7" spans="2:12" ht="20.25" customHeight="1" x14ac:dyDescent="0.2">
      <c r="B7" s="23" t="s">
        <v>21</v>
      </c>
      <c r="C7" s="101" t="s">
        <v>49</v>
      </c>
      <c r="D7" s="102">
        <v>2500</v>
      </c>
      <c r="E7" s="103">
        <v>2600</v>
      </c>
      <c r="F7" s="24">
        <f t="shared" ref="F7:F44" si="0">IF(E7="","",D7-E7)</f>
        <v>-100</v>
      </c>
      <c r="G7" s="103">
        <v>2000</v>
      </c>
      <c r="H7" s="24">
        <f t="shared" ref="H7:H44" si="1">IF(E7="","",E7-G7)</f>
        <v>600</v>
      </c>
      <c r="I7" s="107">
        <v>46277</v>
      </c>
      <c r="J7" s="108" t="s">
        <v>50</v>
      </c>
      <c r="K7" s="109" t="s">
        <v>51</v>
      </c>
      <c r="L7" s="108"/>
    </row>
    <row r="8" spans="2:12" ht="20.25" customHeight="1" x14ac:dyDescent="0.2">
      <c r="B8" s="25" t="s">
        <v>21</v>
      </c>
      <c r="C8" s="104" t="s">
        <v>52</v>
      </c>
      <c r="D8" s="105">
        <v>3000</v>
      </c>
      <c r="E8" s="106">
        <v>2800</v>
      </c>
      <c r="F8" s="26">
        <f t="shared" si="0"/>
        <v>200</v>
      </c>
      <c r="G8" s="106">
        <v>0</v>
      </c>
      <c r="H8" s="26">
        <f t="shared" si="1"/>
        <v>2800</v>
      </c>
      <c r="I8" s="110">
        <v>46266</v>
      </c>
      <c r="J8" s="111" t="s">
        <v>53</v>
      </c>
      <c r="K8" s="112" t="s">
        <v>51</v>
      </c>
      <c r="L8" s="111"/>
    </row>
    <row r="9" spans="2:12" ht="20.25" customHeight="1" x14ac:dyDescent="0.2">
      <c r="B9" s="25" t="s">
        <v>21</v>
      </c>
      <c r="C9" s="104" t="s">
        <v>54</v>
      </c>
      <c r="D9" s="105">
        <v>1000</v>
      </c>
      <c r="E9" s="106">
        <v>1200</v>
      </c>
      <c r="F9" s="26">
        <f t="shared" si="0"/>
        <v>-200</v>
      </c>
      <c r="G9" s="106"/>
      <c r="H9" s="26">
        <f t="shared" si="1"/>
        <v>1200</v>
      </c>
      <c r="I9" s="110"/>
      <c r="J9" s="111" t="s">
        <v>53</v>
      </c>
      <c r="K9" s="112" t="s">
        <v>20</v>
      </c>
      <c r="L9" s="111"/>
    </row>
    <row r="10" spans="2:12" ht="20.25" customHeight="1" x14ac:dyDescent="0.2">
      <c r="B10" s="25" t="s">
        <v>21</v>
      </c>
      <c r="C10" s="104" t="s">
        <v>55</v>
      </c>
      <c r="D10" s="105">
        <v>300</v>
      </c>
      <c r="E10" s="106">
        <v>300</v>
      </c>
      <c r="F10" s="26">
        <f t="shared" si="0"/>
        <v>0</v>
      </c>
      <c r="G10" s="106"/>
      <c r="H10" s="26">
        <f t="shared" si="1"/>
        <v>300</v>
      </c>
      <c r="I10" s="110"/>
      <c r="J10" s="111" t="s">
        <v>56</v>
      </c>
      <c r="K10" s="112" t="s">
        <v>20</v>
      </c>
      <c r="L10" s="111"/>
    </row>
    <row r="11" spans="2:12" ht="20.25" customHeight="1" x14ac:dyDescent="0.2">
      <c r="B11" s="25" t="s">
        <v>21</v>
      </c>
      <c r="C11" s="104" t="s">
        <v>57</v>
      </c>
      <c r="D11" s="105">
        <v>300</v>
      </c>
      <c r="E11" s="106"/>
      <c r="F11" s="26" t="str">
        <f t="shared" si="0"/>
        <v/>
      </c>
      <c r="G11" s="106"/>
      <c r="H11" s="26" t="str">
        <f t="shared" si="1"/>
        <v/>
      </c>
      <c r="I11" s="110"/>
      <c r="J11" s="111"/>
      <c r="K11" s="112" t="s">
        <v>20</v>
      </c>
      <c r="L11" s="111"/>
    </row>
    <row r="12" spans="2:12" ht="20.25" customHeight="1" x14ac:dyDescent="0.2">
      <c r="B12" s="27" t="s">
        <v>23</v>
      </c>
      <c r="C12" s="101" t="s">
        <v>58</v>
      </c>
      <c r="D12" s="102">
        <v>1200</v>
      </c>
      <c r="E12" s="103">
        <v>1100</v>
      </c>
      <c r="F12" s="28">
        <f t="shared" si="0"/>
        <v>100</v>
      </c>
      <c r="G12" s="103">
        <v>1650</v>
      </c>
      <c r="H12" s="28">
        <f t="shared" si="1"/>
        <v>-550</v>
      </c>
      <c r="I12" s="107">
        <v>46203</v>
      </c>
      <c r="J12" s="108" t="s">
        <v>59</v>
      </c>
      <c r="K12" s="109" t="s">
        <v>19</v>
      </c>
      <c r="L12" s="108"/>
    </row>
    <row r="13" spans="2:12" ht="20.25" customHeight="1" x14ac:dyDescent="0.2">
      <c r="B13" s="29" t="s">
        <v>23</v>
      </c>
      <c r="C13" s="104" t="s">
        <v>60</v>
      </c>
      <c r="D13" s="105">
        <v>600</v>
      </c>
      <c r="E13" s="106"/>
      <c r="F13" s="30" t="str">
        <f t="shared" si="0"/>
        <v/>
      </c>
      <c r="G13" s="106"/>
      <c r="H13" s="30" t="str">
        <f t="shared" si="1"/>
        <v/>
      </c>
      <c r="I13" s="110"/>
      <c r="J13" s="111"/>
      <c r="K13" s="112" t="s">
        <v>20</v>
      </c>
      <c r="L13" s="111"/>
    </row>
    <row r="14" spans="2:12" ht="20.25" customHeight="1" x14ac:dyDescent="0.2">
      <c r="B14" s="29" t="s">
        <v>23</v>
      </c>
      <c r="C14" s="104" t="s">
        <v>61</v>
      </c>
      <c r="D14" s="105">
        <v>300</v>
      </c>
      <c r="E14" s="106"/>
      <c r="F14" s="30" t="str">
        <f t="shared" si="0"/>
        <v/>
      </c>
      <c r="G14" s="106"/>
      <c r="H14" s="30" t="str">
        <f t="shared" si="1"/>
        <v/>
      </c>
      <c r="I14" s="110"/>
      <c r="J14" s="111"/>
      <c r="K14" s="112" t="s">
        <v>20</v>
      </c>
      <c r="L14" s="111"/>
    </row>
    <row r="15" spans="2:12" ht="20.25" customHeight="1" x14ac:dyDescent="0.2">
      <c r="B15" s="29" t="s">
        <v>23</v>
      </c>
      <c r="C15" s="104" t="s">
        <v>62</v>
      </c>
      <c r="D15" s="105">
        <v>250</v>
      </c>
      <c r="E15" s="106"/>
      <c r="F15" s="30" t="str">
        <f t="shared" si="0"/>
        <v/>
      </c>
      <c r="G15" s="106"/>
      <c r="H15" s="30" t="str">
        <f t="shared" si="1"/>
        <v/>
      </c>
      <c r="I15" s="110"/>
      <c r="J15" s="111"/>
      <c r="K15" s="112" t="s">
        <v>20</v>
      </c>
      <c r="L15" s="111"/>
    </row>
    <row r="16" spans="2:12" ht="20.25" customHeight="1" x14ac:dyDescent="0.2">
      <c r="B16" s="29" t="s">
        <v>23</v>
      </c>
      <c r="C16" s="104" t="s">
        <v>63</v>
      </c>
      <c r="D16" s="105">
        <v>400</v>
      </c>
      <c r="E16" s="106"/>
      <c r="F16" s="30" t="str">
        <f t="shared" si="0"/>
        <v/>
      </c>
      <c r="G16" s="106"/>
      <c r="H16" s="30" t="str">
        <f t="shared" si="1"/>
        <v/>
      </c>
      <c r="I16" s="110"/>
      <c r="J16" s="111"/>
      <c r="K16" s="112" t="s">
        <v>20</v>
      </c>
      <c r="L16" s="111"/>
    </row>
    <row r="17" spans="2:12" ht="20.25" customHeight="1" x14ac:dyDescent="0.2">
      <c r="B17" s="29" t="s">
        <v>23</v>
      </c>
      <c r="C17" s="104" t="s">
        <v>64</v>
      </c>
      <c r="D17" s="105">
        <v>120</v>
      </c>
      <c r="E17" s="106"/>
      <c r="F17" s="30" t="str">
        <f t="shared" si="0"/>
        <v/>
      </c>
      <c r="G17" s="106"/>
      <c r="H17" s="30" t="str">
        <f t="shared" si="1"/>
        <v/>
      </c>
      <c r="I17" s="110"/>
      <c r="J17" s="111"/>
      <c r="K17" s="112" t="s">
        <v>20</v>
      </c>
      <c r="L17" s="111"/>
    </row>
    <row r="18" spans="2:12" ht="20.25" customHeight="1" x14ac:dyDescent="0.2">
      <c r="B18" s="23" t="s">
        <v>25</v>
      </c>
      <c r="C18" s="101" t="s">
        <v>65</v>
      </c>
      <c r="D18" s="102">
        <v>1200</v>
      </c>
      <c r="E18" s="103">
        <v>1350</v>
      </c>
      <c r="F18" s="24">
        <f t="shared" si="0"/>
        <v>-150</v>
      </c>
      <c r="G18" s="103">
        <v>0</v>
      </c>
      <c r="H18" s="24">
        <f t="shared" si="1"/>
        <v>1350</v>
      </c>
      <c r="I18" s="107">
        <v>46223</v>
      </c>
      <c r="J18" s="108" t="s">
        <v>66</v>
      </c>
      <c r="K18" s="109" t="s">
        <v>51</v>
      </c>
      <c r="L18" s="108"/>
    </row>
    <row r="19" spans="2:12" ht="20.25" customHeight="1" x14ac:dyDescent="0.2">
      <c r="B19" s="25" t="s">
        <v>25</v>
      </c>
      <c r="C19" s="104" t="s">
        <v>67</v>
      </c>
      <c r="D19" s="105">
        <v>300</v>
      </c>
      <c r="E19" s="106"/>
      <c r="F19" s="26" t="str">
        <f t="shared" si="0"/>
        <v/>
      </c>
      <c r="G19" s="106"/>
      <c r="H19" s="26" t="str">
        <f t="shared" si="1"/>
        <v/>
      </c>
      <c r="I19" s="110"/>
      <c r="J19" s="111"/>
      <c r="K19" s="112" t="s">
        <v>20</v>
      </c>
      <c r="L19" s="111"/>
    </row>
    <row r="20" spans="2:12" ht="20.25" customHeight="1" x14ac:dyDescent="0.2">
      <c r="B20" s="27" t="s">
        <v>27</v>
      </c>
      <c r="C20" s="101" t="s">
        <v>68</v>
      </c>
      <c r="D20" s="102">
        <v>800</v>
      </c>
      <c r="E20" s="103">
        <v>800</v>
      </c>
      <c r="F20" s="28">
        <f t="shared" si="0"/>
        <v>0</v>
      </c>
      <c r="G20" s="103">
        <v>300</v>
      </c>
      <c r="H20" s="28">
        <f t="shared" si="1"/>
        <v>500</v>
      </c>
      <c r="I20" s="107">
        <v>46249</v>
      </c>
      <c r="J20" s="108" t="s">
        <v>69</v>
      </c>
      <c r="K20" s="109" t="s">
        <v>51</v>
      </c>
      <c r="L20" s="108"/>
    </row>
    <row r="21" spans="2:12" ht="20.25" customHeight="1" x14ac:dyDescent="0.2">
      <c r="B21" s="29" t="s">
        <v>27</v>
      </c>
      <c r="C21" s="104" t="s">
        <v>70</v>
      </c>
      <c r="D21" s="105">
        <v>1200</v>
      </c>
      <c r="E21" s="106"/>
      <c r="F21" s="30" t="str">
        <f t="shared" si="0"/>
        <v/>
      </c>
      <c r="G21" s="106"/>
      <c r="H21" s="30" t="str">
        <f t="shared" si="1"/>
        <v/>
      </c>
      <c r="I21" s="110"/>
      <c r="J21" s="111"/>
      <c r="K21" s="112" t="s">
        <v>20</v>
      </c>
      <c r="L21" s="111"/>
    </row>
    <row r="22" spans="2:12" ht="20.25" customHeight="1" x14ac:dyDescent="0.2">
      <c r="B22" s="29" t="s">
        <v>27</v>
      </c>
      <c r="C22" s="104" t="s">
        <v>71</v>
      </c>
      <c r="D22" s="105">
        <v>150</v>
      </c>
      <c r="E22" s="106"/>
      <c r="F22" s="30" t="str">
        <f t="shared" si="0"/>
        <v/>
      </c>
      <c r="G22" s="106"/>
      <c r="H22" s="30" t="str">
        <f t="shared" si="1"/>
        <v/>
      </c>
      <c r="I22" s="110"/>
      <c r="J22" s="111"/>
      <c r="K22" s="112" t="s">
        <v>20</v>
      </c>
      <c r="L22" s="111"/>
    </row>
    <row r="23" spans="2:12" ht="20.25" customHeight="1" x14ac:dyDescent="0.2">
      <c r="B23" s="23" t="s">
        <v>29</v>
      </c>
      <c r="C23" s="101" t="s">
        <v>72</v>
      </c>
      <c r="D23" s="102">
        <v>500</v>
      </c>
      <c r="E23" s="103"/>
      <c r="F23" s="24" t="str">
        <f t="shared" si="0"/>
        <v/>
      </c>
      <c r="G23" s="103"/>
      <c r="H23" s="24" t="str">
        <f t="shared" si="1"/>
        <v/>
      </c>
      <c r="I23" s="107">
        <v>46270</v>
      </c>
      <c r="J23" s="108" t="s">
        <v>73</v>
      </c>
      <c r="K23" s="109" t="s">
        <v>51</v>
      </c>
      <c r="L23" s="108"/>
    </row>
    <row r="24" spans="2:12" ht="20.25" customHeight="1" x14ac:dyDescent="0.2">
      <c r="B24" s="25" t="s">
        <v>29</v>
      </c>
      <c r="C24" s="104" t="s">
        <v>74</v>
      </c>
      <c r="D24" s="105"/>
      <c r="E24" s="106"/>
      <c r="F24" s="26" t="str">
        <f t="shared" si="0"/>
        <v/>
      </c>
      <c r="G24" s="106"/>
      <c r="H24" s="26" t="str">
        <f t="shared" si="1"/>
        <v/>
      </c>
      <c r="I24" s="110"/>
      <c r="J24" s="111"/>
      <c r="K24" s="112" t="s">
        <v>20</v>
      </c>
      <c r="L24" s="111"/>
    </row>
    <row r="25" spans="2:12" ht="20.25" customHeight="1" x14ac:dyDescent="0.2">
      <c r="B25" s="25" t="s">
        <v>29</v>
      </c>
      <c r="C25" s="104" t="s">
        <v>75</v>
      </c>
      <c r="D25" s="105"/>
      <c r="E25" s="106"/>
      <c r="F25" s="26" t="str">
        <f t="shared" si="0"/>
        <v/>
      </c>
      <c r="G25" s="106"/>
      <c r="H25" s="26" t="str">
        <f t="shared" si="1"/>
        <v/>
      </c>
      <c r="I25" s="110"/>
      <c r="J25" s="111"/>
      <c r="K25" s="112" t="s">
        <v>76</v>
      </c>
      <c r="L25" s="111"/>
    </row>
    <row r="26" spans="2:12" ht="20.25" customHeight="1" x14ac:dyDescent="0.2">
      <c r="B26" s="27" t="s">
        <v>31</v>
      </c>
      <c r="C26" s="101" t="s">
        <v>77</v>
      </c>
      <c r="D26" s="102">
        <v>120</v>
      </c>
      <c r="E26" s="103"/>
      <c r="F26" s="28" t="str">
        <f t="shared" si="0"/>
        <v/>
      </c>
      <c r="G26" s="103"/>
      <c r="H26" s="28" t="str">
        <f t="shared" si="1"/>
        <v/>
      </c>
      <c r="I26" s="107"/>
      <c r="J26" s="108"/>
      <c r="K26" s="109" t="s">
        <v>20</v>
      </c>
      <c r="L26" s="108"/>
    </row>
    <row r="27" spans="2:12" ht="20.25" customHeight="1" x14ac:dyDescent="0.2">
      <c r="B27" s="29" t="s">
        <v>31</v>
      </c>
      <c r="C27" s="104" t="s">
        <v>78</v>
      </c>
      <c r="D27" s="105">
        <v>600</v>
      </c>
      <c r="E27" s="106"/>
      <c r="F27" s="30" t="str">
        <f t="shared" si="0"/>
        <v/>
      </c>
      <c r="G27" s="106"/>
      <c r="H27" s="30" t="str">
        <f t="shared" si="1"/>
        <v/>
      </c>
      <c r="I27" s="110"/>
      <c r="J27" s="111"/>
      <c r="K27" s="112" t="s">
        <v>20</v>
      </c>
      <c r="L27" s="111"/>
    </row>
    <row r="28" spans="2:12" ht="20.25" customHeight="1" x14ac:dyDescent="0.2">
      <c r="B28" s="29" t="s">
        <v>31</v>
      </c>
      <c r="C28" s="104" t="s">
        <v>79</v>
      </c>
      <c r="D28" s="105">
        <v>300</v>
      </c>
      <c r="E28" s="106"/>
      <c r="F28" s="30" t="str">
        <f t="shared" si="0"/>
        <v/>
      </c>
      <c r="G28" s="106"/>
      <c r="H28" s="30" t="str">
        <f t="shared" si="1"/>
        <v/>
      </c>
      <c r="I28" s="110"/>
      <c r="J28" s="111"/>
      <c r="K28" s="112" t="s">
        <v>20</v>
      </c>
      <c r="L28" s="111"/>
    </row>
    <row r="29" spans="2:12" ht="20.25" customHeight="1" x14ac:dyDescent="0.2">
      <c r="B29" s="29" t="s">
        <v>31</v>
      </c>
      <c r="C29" s="104" t="s">
        <v>80</v>
      </c>
      <c r="D29" s="105">
        <v>100</v>
      </c>
      <c r="E29" s="106"/>
      <c r="F29" s="30" t="str">
        <f t="shared" si="0"/>
        <v/>
      </c>
      <c r="G29" s="106"/>
      <c r="H29" s="30" t="str">
        <f t="shared" si="1"/>
        <v/>
      </c>
      <c r="I29" s="110"/>
      <c r="J29" s="111"/>
      <c r="K29" s="112" t="s">
        <v>20</v>
      </c>
      <c r="L29" s="111"/>
    </row>
    <row r="30" spans="2:12" ht="20.25" customHeight="1" x14ac:dyDescent="0.2">
      <c r="B30" s="23" t="s">
        <v>33</v>
      </c>
      <c r="C30" s="101" t="s">
        <v>81</v>
      </c>
      <c r="D30" s="102">
        <v>100</v>
      </c>
      <c r="E30" s="103"/>
      <c r="F30" s="24" t="str">
        <f t="shared" si="0"/>
        <v/>
      </c>
      <c r="G30" s="103"/>
      <c r="H30" s="24" t="str">
        <f t="shared" si="1"/>
        <v/>
      </c>
      <c r="I30" s="107"/>
      <c r="J30" s="108"/>
      <c r="K30" s="109" t="s">
        <v>20</v>
      </c>
      <c r="L30" s="108"/>
    </row>
    <row r="31" spans="2:12" ht="20.25" customHeight="1" x14ac:dyDescent="0.2">
      <c r="B31" s="25" t="s">
        <v>33</v>
      </c>
      <c r="C31" s="104" t="s">
        <v>82</v>
      </c>
      <c r="D31" s="105">
        <v>250</v>
      </c>
      <c r="E31" s="106"/>
      <c r="F31" s="26" t="str">
        <f t="shared" si="0"/>
        <v/>
      </c>
      <c r="G31" s="106"/>
      <c r="H31" s="26" t="str">
        <f t="shared" si="1"/>
        <v/>
      </c>
      <c r="I31" s="110"/>
      <c r="J31" s="111"/>
      <c r="K31" s="112" t="s">
        <v>20</v>
      </c>
      <c r="L31" s="111"/>
    </row>
    <row r="32" spans="2:12" ht="20.25" customHeight="1" x14ac:dyDescent="0.2">
      <c r="B32" s="25" t="s">
        <v>33</v>
      </c>
      <c r="C32" s="104" t="s">
        <v>83</v>
      </c>
      <c r="D32" s="105">
        <v>150</v>
      </c>
      <c r="E32" s="106"/>
      <c r="F32" s="26" t="str">
        <f t="shared" si="0"/>
        <v/>
      </c>
      <c r="G32" s="106"/>
      <c r="H32" s="26" t="str">
        <f t="shared" si="1"/>
        <v/>
      </c>
      <c r="I32" s="110"/>
      <c r="J32" s="111"/>
      <c r="K32" s="112" t="s">
        <v>20</v>
      </c>
      <c r="L32" s="111"/>
    </row>
    <row r="33" spans="2:12" ht="20.25" customHeight="1" x14ac:dyDescent="0.2">
      <c r="B33" s="25" t="s">
        <v>33</v>
      </c>
      <c r="C33" s="104" t="s">
        <v>84</v>
      </c>
      <c r="D33" s="105">
        <v>120</v>
      </c>
      <c r="E33" s="106"/>
      <c r="F33" s="26" t="str">
        <f t="shared" si="0"/>
        <v/>
      </c>
      <c r="G33" s="106"/>
      <c r="H33" s="26" t="str">
        <f t="shared" si="1"/>
        <v/>
      </c>
      <c r="I33" s="110"/>
      <c r="J33" s="111"/>
      <c r="K33" s="112" t="s">
        <v>20</v>
      </c>
      <c r="L33" s="111"/>
    </row>
    <row r="34" spans="2:12" ht="20.25" customHeight="1" x14ac:dyDescent="0.2">
      <c r="B34" s="27" t="s">
        <v>34</v>
      </c>
      <c r="C34" s="101" t="s">
        <v>85</v>
      </c>
      <c r="D34" s="102">
        <v>199</v>
      </c>
      <c r="E34" s="103"/>
      <c r="F34" s="28" t="str">
        <f t="shared" si="0"/>
        <v/>
      </c>
      <c r="G34" s="103"/>
      <c r="H34" s="28" t="str">
        <f t="shared" si="1"/>
        <v/>
      </c>
      <c r="I34" s="107"/>
      <c r="J34" s="108"/>
      <c r="K34" s="109" t="s">
        <v>20</v>
      </c>
      <c r="L34" s="108"/>
    </row>
    <row r="35" spans="2:12" ht="20.25" customHeight="1" x14ac:dyDescent="0.2">
      <c r="B35" s="29" t="s">
        <v>34</v>
      </c>
      <c r="C35" s="104" t="s">
        <v>86</v>
      </c>
      <c r="D35" s="105"/>
      <c r="E35" s="106"/>
      <c r="F35" s="30" t="str">
        <f t="shared" si="0"/>
        <v/>
      </c>
      <c r="G35" s="106"/>
      <c r="H35" s="30" t="str">
        <f t="shared" si="1"/>
        <v/>
      </c>
      <c r="I35" s="110"/>
      <c r="J35" s="111"/>
      <c r="K35" s="112" t="s">
        <v>20</v>
      </c>
      <c r="L35" s="111"/>
    </row>
    <row r="36" spans="2:12" ht="20.25" customHeight="1" x14ac:dyDescent="0.2">
      <c r="B36" s="29" t="s">
        <v>34</v>
      </c>
      <c r="C36" s="104" t="s">
        <v>87</v>
      </c>
      <c r="D36" s="105">
        <v>200</v>
      </c>
      <c r="E36" s="106"/>
      <c r="F36" s="30" t="str">
        <f t="shared" si="0"/>
        <v/>
      </c>
      <c r="G36" s="106"/>
      <c r="H36" s="30" t="str">
        <f t="shared" si="1"/>
        <v/>
      </c>
      <c r="I36" s="110"/>
      <c r="J36" s="111"/>
      <c r="K36" s="112" t="s">
        <v>20</v>
      </c>
      <c r="L36" s="111"/>
    </row>
    <row r="37" spans="2:12" ht="20.25" customHeight="1" x14ac:dyDescent="0.2">
      <c r="B37" s="23" t="s">
        <v>35</v>
      </c>
      <c r="C37" s="101" t="s">
        <v>88</v>
      </c>
      <c r="D37" s="102">
        <v>300</v>
      </c>
      <c r="E37" s="103"/>
      <c r="F37" s="24" t="str">
        <f t="shared" si="0"/>
        <v/>
      </c>
      <c r="G37" s="103"/>
      <c r="H37" s="24" t="str">
        <f t="shared" si="1"/>
        <v/>
      </c>
      <c r="I37" s="107"/>
      <c r="J37" s="108"/>
      <c r="K37" s="109" t="s">
        <v>20</v>
      </c>
      <c r="L37" s="108"/>
    </row>
    <row r="38" spans="2:12" ht="20.25" customHeight="1" x14ac:dyDescent="0.2">
      <c r="B38" s="25" t="s">
        <v>35</v>
      </c>
      <c r="C38" s="104" t="s">
        <v>89</v>
      </c>
      <c r="D38" s="105"/>
      <c r="E38" s="106"/>
      <c r="F38" s="26" t="str">
        <f t="shared" si="0"/>
        <v/>
      </c>
      <c r="G38" s="106"/>
      <c r="H38" s="26" t="str">
        <f t="shared" si="1"/>
        <v/>
      </c>
      <c r="I38" s="110"/>
      <c r="J38" s="111"/>
      <c r="K38" s="112" t="s">
        <v>20</v>
      </c>
      <c r="L38" s="111"/>
    </row>
    <row r="39" spans="2:12" ht="20.25" customHeight="1" x14ac:dyDescent="0.2">
      <c r="B39" s="25" t="s">
        <v>35</v>
      </c>
      <c r="C39" s="104" t="s">
        <v>90</v>
      </c>
      <c r="D39" s="105"/>
      <c r="E39" s="106"/>
      <c r="F39" s="26" t="str">
        <f t="shared" si="0"/>
        <v/>
      </c>
      <c r="G39" s="106"/>
      <c r="H39" s="26" t="str">
        <f t="shared" si="1"/>
        <v/>
      </c>
      <c r="I39" s="110"/>
      <c r="J39" s="111"/>
      <c r="K39" s="112" t="s">
        <v>20</v>
      </c>
      <c r="L39" s="111"/>
    </row>
    <row r="40" spans="2:12" ht="20.25" customHeight="1" x14ac:dyDescent="0.2">
      <c r="B40" s="27" t="s">
        <v>37</v>
      </c>
      <c r="C40" s="101" t="s">
        <v>91</v>
      </c>
      <c r="D40" s="102">
        <v>2000</v>
      </c>
      <c r="E40" s="103"/>
      <c r="F40" s="28" t="str">
        <f t="shared" si="0"/>
        <v/>
      </c>
      <c r="G40" s="103"/>
      <c r="H40" s="28" t="str">
        <f t="shared" si="1"/>
        <v/>
      </c>
      <c r="I40" s="107"/>
      <c r="J40" s="108"/>
      <c r="K40" s="109" t="s">
        <v>20</v>
      </c>
      <c r="L40" s="108"/>
    </row>
    <row r="41" spans="2:12" ht="20.25" customHeight="1" x14ac:dyDescent="0.2">
      <c r="B41" s="29" t="s">
        <v>37</v>
      </c>
      <c r="C41" s="104" t="s">
        <v>92</v>
      </c>
      <c r="D41" s="105">
        <v>120</v>
      </c>
      <c r="E41" s="106"/>
      <c r="F41" s="30" t="str">
        <f t="shared" si="0"/>
        <v/>
      </c>
      <c r="G41" s="106"/>
      <c r="H41" s="30" t="str">
        <f t="shared" si="1"/>
        <v/>
      </c>
      <c r="I41" s="110"/>
      <c r="J41" s="111"/>
      <c r="K41" s="112" t="s">
        <v>20</v>
      </c>
      <c r="L41" s="111"/>
    </row>
    <row r="42" spans="2:12" ht="20.25" customHeight="1" x14ac:dyDescent="0.2">
      <c r="B42" s="23" t="s">
        <v>38</v>
      </c>
      <c r="C42" s="101" t="s">
        <v>93</v>
      </c>
      <c r="D42" s="102">
        <v>100</v>
      </c>
      <c r="E42" s="103"/>
      <c r="F42" s="24" t="str">
        <f t="shared" si="0"/>
        <v/>
      </c>
      <c r="G42" s="103"/>
      <c r="H42" s="24" t="str">
        <f t="shared" si="1"/>
        <v/>
      </c>
      <c r="I42" s="107"/>
      <c r="J42" s="108"/>
      <c r="K42" s="109" t="s">
        <v>20</v>
      </c>
      <c r="L42" s="108"/>
    </row>
    <row r="43" spans="2:12" ht="20.25" customHeight="1" x14ac:dyDescent="0.2">
      <c r="B43" s="25" t="s">
        <v>38</v>
      </c>
      <c r="C43" s="104" t="s">
        <v>94</v>
      </c>
      <c r="D43" s="105">
        <v>100</v>
      </c>
      <c r="E43" s="106"/>
      <c r="F43" s="26" t="str">
        <f t="shared" si="0"/>
        <v/>
      </c>
      <c r="G43" s="106"/>
      <c r="H43" s="26" t="str">
        <f t="shared" si="1"/>
        <v/>
      </c>
      <c r="I43" s="110"/>
      <c r="J43" s="111"/>
      <c r="K43" s="112" t="s">
        <v>20</v>
      </c>
      <c r="L43" s="111"/>
    </row>
    <row r="44" spans="2:12" ht="20.25" customHeight="1" x14ac:dyDescent="0.2">
      <c r="B44" s="25" t="s">
        <v>38</v>
      </c>
      <c r="C44" s="104" t="s">
        <v>95</v>
      </c>
      <c r="D44" s="105">
        <v>200</v>
      </c>
      <c r="E44" s="106"/>
      <c r="F44" s="26" t="str">
        <f t="shared" si="0"/>
        <v/>
      </c>
      <c r="G44" s="106"/>
      <c r="H44" s="26" t="str">
        <f t="shared" si="1"/>
        <v/>
      </c>
      <c r="I44" s="110"/>
      <c r="J44" s="111"/>
      <c r="K44" s="112" t="s">
        <v>20</v>
      </c>
      <c r="L44" s="111"/>
    </row>
    <row r="45" spans="2:12" ht="20.25" customHeight="1" x14ac:dyDescent="0.2">
      <c r="B45" s="25" t="s">
        <v>38</v>
      </c>
      <c r="C45" s="104"/>
      <c r="D45" s="105"/>
      <c r="E45" s="106"/>
      <c r="F45" s="26"/>
      <c r="G45" s="106"/>
      <c r="H45" s="26"/>
      <c r="I45" s="110"/>
      <c r="J45" s="111"/>
      <c r="K45" s="112"/>
      <c r="L45" s="111"/>
    </row>
    <row r="46" spans="2:12" ht="20.25" customHeight="1" x14ac:dyDescent="0.2">
      <c r="B46" s="25" t="s">
        <v>38</v>
      </c>
      <c r="C46" s="104"/>
      <c r="D46" s="105"/>
      <c r="E46" s="106"/>
      <c r="F46" s="26" t="str">
        <f>IF(E46="","",D46-E46)</f>
        <v/>
      </c>
      <c r="G46" s="106"/>
      <c r="H46" s="26" t="str">
        <f>IF(E46="","",E46-G46)</f>
        <v/>
      </c>
      <c r="I46" s="110"/>
      <c r="J46" s="111"/>
      <c r="K46" s="112"/>
      <c r="L46" s="111"/>
    </row>
    <row r="47" spans="2:12" ht="20.25" customHeight="1" x14ac:dyDescent="0.2">
      <c r="B47" s="25" t="s">
        <v>38</v>
      </c>
      <c r="C47" s="104"/>
      <c r="D47" s="105"/>
      <c r="E47" s="106"/>
      <c r="F47" s="26" t="str">
        <f>IF(E47="","",D47-E47)</f>
        <v/>
      </c>
      <c r="G47" s="106"/>
      <c r="H47" s="26" t="str">
        <f>IF(E47="","",E47-G47)</f>
        <v/>
      </c>
      <c r="I47" s="110"/>
      <c r="J47" s="111"/>
      <c r="K47" s="112"/>
      <c r="L47" s="111"/>
    </row>
    <row r="48" spans="2:12" ht="24" customHeight="1" x14ac:dyDescent="0.2">
      <c r="B48" s="31"/>
      <c r="C48" s="32" t="s">
        <v>39</v>
      </c>
      <c r="D48" s="33">
        <f>SUM(D7:D47)</f>
        <v>19079</v>
      </c>
      <c r="E48" s="33">
        <f>SUM(E7:E47)</f>
        <v>10150</v>
      </c>
      <c r="F48" s="34"/>
      <c r="G48" s="33">
        <f>SUM(G7:G47)</f>
        <v>3950</v>
      </c>
      <c r="H48" s="33">
        <f>SUM(E7:E47)-SUM(G7:G47)</f>
        <v>6200</v>
      </c>
      <c r="I48" s="34"/>
      <c r="J48" s="34"/>
      <c r="K48" s="34"/>
      <c r="L48" s="35"/>
    </row>
  </sheetData>
  <mergeCells count="2">
    <mergeCell ref="B1:L1"/>
    <mergeCell ref="B3:L3"/>
  </mergeCells>
  <conditionalFormatting sqref="F7:F47">
    <cfRule type="cellIs" dxfId="7" priority="2" operator="lessThan">
      <formula>0</formula>
    </cfRule>
    <cfRule type="cellIs" dxfId="6" priority="3" operator="greaterThan">
      <formula>0</formula>
    </cfRule>
  </conditionalFormatting>
  <conditionalFormatting sqref="K7:K47">
    <cfRule type="cellIs" dxfId="5" priority="4" operator="equal">
      <formula>"Bezahlt"</formula>
    </cfRule>
    <cfRule type="cellIs" dxfId="4" priority="5" operator="equal">
      <formula>"Gebucht"</formula>
    </cfRule>
  </conditionalFormatting>
  <dataValidations count="1">
    <dataValidation type="list" allowBlank="1" sqref="K7:K47" xr:uid="{00000000-0002-0000-0100-000000000000}">
      <formula1>"Offen,In Planung,Gebucht,Bezahlt"</formula1>
      <formula2>0</formula2>
    </dataValidation>
  </dataValidations>
  <pageMargins left="0.3" right="0.3" top="0.4" bottom="0.4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99749"/>
    <pageSetUpPr fitToPage="1"/>
  </sheetPr>
  <dimension ref="B1:L57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G24" sqref="G24"/>
    </sheetView>
  </sheetViews>
  <sheetFormatPr baseColWidth="10" defaultColWidth="8.6640625" defaultRowHeight="15" x14ac:dyDescent="0.2"/>
  <cols>
    <col min="1" max="1" width="2.5" customWidth="1"/>
    <col min="2" max="2" width="12" customWidth="1"/>
    <col min="3" max="3" width="50" customWidth="1"/>
    <col min="4" max="4" width="22" customWidth="1"/>
    <col min="5" max="5" width="18" customWidth="1"/>
    <col min="6" max="6" width="30" customWidth="1"/>
  </cols>
  <sheetData>
    <row r="1" spans="2:12" ht="30" customHeight="1" x14ac:dyDescent="0.2">
      <c r="B1" s="129" t="s">
        <v>96</v>
      </c>
      <c r="C1" s="129"/>
      <c r="D1" s="129"/>
      <c r="E1" s="129"/>
      <c r="F1" s="129"/>
    </row>
    <row r="2" spans="2:12" ht="7.5" customHeight="1" x14ac:dyDescent="0.2">
      <c r="B2" s="17"/>
      <c r="C2" s="17"/>
      <c r="D2" s="17"/>
      <c r="E2" s="17"/>
      <c r="F2" s="17"/>
    </row>
    <row r="3" spans="2:12" ht="21" customHeight="1" x14ac:dyDescent="0.2">
      <c r="B3" s="18" t="s">
        <v>97</v>
      </c>
      <c r="C3" s="18"/>
      <c r="D3" s="18"/>
      <c r="E3" s="18"/>
      <c r="F3" s="18"/>
    </row>
    <row r="4" spans="2:12" ht="21" customHeight="1" x14ac:dyDescent="0.2">
      <c r="B4" s="18" t="s">
        <v>42</v>
      </c>
      <c r="C4" s="18"/>
      <c r="D4" s="18"/>
      <c r="E4" s="18"/>
      <c r="F4" s="18"/>
      <c r="G4" s="36"/>
      <c r="H4" s="36"/>
      <c r="I4" s="36"/>
      <c r="J4" s="36"/>
      <c r="K4" s="36"/>
      <c r="L4" s="36"/>
    </row>
    <row r="5" spans="2:12" ht="21" customHeight="1" x14ac:dyDescent="0.2">
      <c r="B5" s="81"/>
      <c r="C5" s="81"/>
      <c r="D5" s="81"/>
      <c r="E5" s="81"/>
      <c r="F5" s="82"/>
      <c r="G5" s="36"/>
      <c r="H5" s="36"/>
      <c r="I5" s="36"/>
      <c r="J5" s="36"/>
      <c r="K5" s="36"/>
      <c r="L5" s="36"/>
    </row>
    <row r="6" spans="2:12" ht="15.75" customHeight="1" x14ac:dyDescent="0.2">
      <c r="B6" s="82"/>
      <c r="C6" s="132" t="s">
        <v>98</v>
      </c>
      <c r="D6" s="132"/>
      <c r="E6" s="83" t="str">
        <f>COUNTIF(B9:B57,"Erledigt")&amp;" von "&amp;COUNTIF(B9:B57,"Erledigt")+COUNTIF(B9:B57,"Offen")&amp;" erledigt"</f>
        <v>0 von 40 erledigt</v>
      </c>
      <c r="F6" s="82"/>
    </row>
    <row r="7" spans="2:12" x14ac:dyDescent="0.2">
      <c r="B7" s="82"/>
      <c r="C7" s="82"/>
      <c r="D7" s="82"/>
      <c r="E7" s="82"/>
      <c r="F7" s="82"/>
    </row>
    <row r="8" spans="2:12" ht="24" customHeight="1" x14ac:dyDescent="0.2">
      <c r="B8" s="37" t="s">
        <v>47</v>
      </c>
      <c r="C8" s="38" t="s">
        <v>99</v>
      </c>
      <c r="D8" s="39" t="s">
        <v>100</v>
      </c>
      <c r="E8" s="39" t="s">
        <v>101</v>
      </c>
      <c r="F8" s="40" t="s">
        <v>48</v>
      </c>
    </row>
    <row r="9" spans="2:12" ht="22.5" customHeight="1" x14ac:dyDescent="0.2">
      <c r="B9" s="131" t="s">
        <v>102</v>
      </c>
      <c r="C9" s="131"/>
      <c r="D9" s="131"/>
      <c r="E9" s="131"/>
      <c r="F9" s="131"/>
    </row>
    <row r="10" spans="2:12" ht="20.25" customHeight="1" x14ac:dyDescent="0.2">
      <c r="B10" s="41" t="s">
        <v>20</v>
      </c>
      <c r="C10" s="42" t="s">
        <v>103</v>
      </c>
      <c r="D10" s="43" t="s">
        <v>102</v>
      </c>
      <c r="E10" s="44"/>
      <c r="F10" s="44"/>
    </row>
    <row r="11" spans="2:12" ht="20.25" customHeight="1" x14ac:dyDescent="0.2">
      <c r="B11" s="41" t="s">
        <v>20</v>
      </c>
      <c r="C11" s="45" t="s">
        <v>104</v>
      </c>
      <c r="D11" s="46" t="s">
        <v>102</v>
      </c>
      <c r="E11" s="47"/>
      <c r="F11" s="47"/>
    </row>
    <row r="12" spans="2:12" ht="20.25" customHeight="1" x14ac:dyDescent="0.2">
      <c r="B12" s="41" t="s">
        <v>20</v>
      </c>
      <c r="C12" s="42" t="s">
        <v>105</v>
      </c>
      <c r="D12" s="43" t="s">
        <v>102</v>
      </c>
      <c r="E12" s="44"/>
      <c r="F12" s="44"/>
    </row>
    <row r="13" spans="2:12" ht="20.25" customHeight="1" x14ac:dyDescent="0.2">
      <c r="B13" s="41" t="s">
        <v>20</v>
      </c>
      <c r="C13" s="45" t="s">
        <v>106</v>
      </c>
      <c r="D13" s="46" t="s">
        <v>102</v>
      </c>
      <c r="E13" s="47"/>
      <c r="F13" s="47"/>
    </row>
    <row r="14" spans="2:12" ht="20.25" customHeight="1" x14ac:dyDescent="0.2">
      <c r="B14" s="41" t="s">
        <v>20</v>
      </c>
      <c r="C14" s="42" t="s">
        <v>107</v>
      </c>
      <c r="D14" s="43" t="s">
        <v>102</v>
      </c>
      <c r="E14" s="44"/>
      <c r="F14" s="44"/>
    </row>
    <row r="15" spans="2:12" ht="22.5" customHeight="1" x14ac:dyDescent="0.2">
      <c r="B15" s="131" t="s">
        <v>108</v>
      </c>
      <c r="C15" s="131"/>
      <c r="D15" s="131"/>
      <c r="E15" s="131"/>
      <c r="F15" s="131"/>
    </row>
    <row r="16" spans="2:12" ht="20.25" customHeight="1" x14ac:dyDescent="0.2">
      <c r="B16" s="41" t="s">
        <v>20</v>
      </c>
      <c r="C16" s="42" t="s">
        <v>109</v>
      </c>
      <c r="D16" s="43" t="s">
        <v>108</v>
      </c>
      <c r="E16" s="44"/>
      <c r="F16" s="44"/>
    </row>
    <row r="17" spans="2:6" ht="20.25" customHeight="1" x14ac:dyDescent="0.2">
      <c r="B17" s="41" t="s">
        <v>20</v>
      </c>
      <c r="C17" s="45" t="s">
        <v>110</v>
      </c>
      <c r="D17" s="46" t="s">
        <v>108</v>
      </c>
      <c r="E17" s="47"/>
      <c r="F17" s="47"/>
    </row>
    <row r="18" spans="2:6" ht="20.25" customHeight="1" x14ac:dyDescent="0.2">
      <c r="B18" s="41" t="s">
        <v>20</v>
      </c>
      <c r="C18" s="42" t="s">
        <v>111</v>
      </c>
      <c r="D18" s="43" t="s">
        <v>108</v>
      </c>
      <c r="E18" s="44"/>
      <c r="F18" s="44"/>
    </row>
    <row r="19" spans="2:6" ht="20.25" customHeight="1" x14ac:dyDescent="0.2">
      <c r="B19" s="41" t="s">
        <v>20</v>
      </c>
      <c r="C19" s="45" t="s">
        <v>112</v>
      </c>
      <c r="D19" s="46" t="s">
        <v>108</v>
      </c>
      <c r="E19" s="47"/>
      <c r="F19" s="47"/>
    </row>
    <row r="20" spans="2:6" ht="20.25" customHeight="1" x14ac:dyDescent="0.2">
      <c r="B20" s="41" t="s">
        <v>20</v>
      </c>
      <c r="C20" s="42" t="s">
        <v>113</v>
      </c>
      <c r="D20" s="43" t="s">
        <v>108</v>
      </c>
      <c r="E20" s="44"/>
      <c r="F20" s="44"/>
    </row>
    <row r="21" spans="2:6" ht="22.5" customHeight="1" x14ac:dyDescent="0.2">
      <c r="B21" s="131" t="s">
        <v>114</v>
      </c>
      <c r="C21" s="131"/>
      <c r="D21" s="131"/>
      <c r="E21" s="131"/>
      <c r="F21" s="131"/>
    </row>
    <row r="22" spans="2:6" ht="20.25" customHeight="1" x14ac:dyDescent="0.2">
      <c r="B22" s="41" t="s">
        <v>20</v>
      </c>
      <c r="C22" s="42" t="s">
        <v>115</v>
      </c>
      <c r="D22" s="43" t="s">
        <v>114</v>
      </c>
      <c r="E22" s="44"/>
      <c r="F22" s="44"/>
    </row>
    <row r="23" spans="2:6" ht="20.25" customHeight="1" x14ac:dyDescent="0.2">
      <c r="B23" s="41" t="s">
        <v>20</v>
      </c>
      <c r="C23" s="45" t="s">
        <v>116</v>
      </c>
      <c r="D23" s="46" t="s">
        <v>114</v>
      </c>
      <c r="E23" s="47"/>
      <c r="F23" s="47"/>
    </row>
    <row r="24" spans="2:6" ht="20.25" customHeight="1" x14ac:dyDescent="0.2">
      <c r="B24" s="41" t="s">
        <v>20</v>
      </c>
      <c r="C24" s="42" t="s">
        <v>117</v>
      </c>
      <c r="D24" s="43" t="s">
        <v>114</v>
      </c>
      <c r="E24" s="44"/>
      <c r="F24" s="44"/>
    </row>
    <row r="25" spans="2:6" ht="20.25" customHeight="1" x14ac:dyDescent="0.2">
      <c r="B25" s="41" t="s">
        <v>20</v>
      </c>
      <c r="C25" s="45" t="s">
        <v>118</v>
      </c>
      <c r="D25" s="46" t="s">
        <v>114</v>
      </c>
      <c r="E25" s="47"/>
      <c r="F25" s="47"/>
    </row>
    <row r="26" spans="2:6" ht="20.25" customHeight="1" x14ac:dyDescent="0.2">
      <c r="B26" s="41" t="s">
        <v>20</v>
      </c>
      <c r="C26" s="42" t="s">
        <v>119</v>
      </c>
      <c r="D26" s="43" t="s">
        <v>114</v>
      </c>
      <c r="E26" s="44"/>
      <c r="F26" s="44"/>
    </row>
    <row r="27" spans="2:6" ht="22.5" customHeight="1" x14ac:dyDescent="0.2">
      <c r="B27" s="131" t="s">
        <v>120</v>
      </c>
      <c r="C27" s="131"/>
      <c r="D27" s="131"/>
      <c r="E27" s="131"/>
      <c r="F27" s="131"/>
    </row>
    <row r="28" spans="2:6" ht="20.25" customHeight="1" x14ac:dyDescent="0.2">
      <c r="B28" s="41" t="s">
        <v>20</v>
      </c>
      <c r="C28" s="42" t="s">
        <v>121</v>
      </c>
      <c r="D28" s="43" t="s">
        <v>120</v>
      </c>
      <c r="E28" s="44"/>
      <c r="F28" s="44"/>
    </row>
    <row r="29" spans="2:6" ht="20.25" customHeight="1" x14ac:dyDescent="0.2">
      <c r="B29" s="41" t="s">
        <v>20</v>
      </c>
      <c r="C29" s="45" t="s">
        <v>122</v>
      </c>
      <c r="D29" s="46" t="s">
        <v>120</v>
      </c>
      <c r="E29" s="47"/>
      <c r="F29" s="47"/>
    </row>
    <row r="30" spans="2:6" ht="20.25" customHeight="1" x14ac:dyDescent="0.2">
      <c r="B30" s="41" t="s">
        <v>20</v>
      </c>
      <c r="C30" s="42" t="s">
        <v>123</v>
      </c>
      <c r="D30" s="43" t="s">
        <v>120</v>
      </c>
      <c r="E30" s="44"/>
      <c r="F30" s="44"/>
    </row>
    <row r="31" spans="2:6" ht="20.25" customHeight="1" x14ac:dyDescent="0.2">
      <c r="B31" s="41" t="s">
        <v>20</v>
      </c>
      <c r="C31" s="45" t="s">
        <v>124</v>
      </c>
      <c r="D31" s="46" t="s">
        <v>120</v>
      </c>
      <c r="E31" s="47"/>
      <c r="F31" s="47"/>
    </row>
    <row r="32" spans="2:6" ht="20.25" customHeight="1" x14ac:dyDescent="0.2">
      <c r="B32" s="41" t="s">
        <v>20</v>
      </c>
      <c r="C32" s="42" t="s">
        <v>125</v>
      </c>
      <c r="D32" s="43" t="s">
        <v>120</v>
      </c>
      <c r="E32" s="44"/>
      <c r="F32" s="44"/>
    </row>
    <row r="33" spans="2:6" ht="22.5" customHeight="1" x14ac:dyDescent="0.2">
      <c r="B33" s="131" t="s">
        <v>126</v>
      </c>
      <c r="C33" s="131"/>
      <c r="D33" s="131"/>
      <c r="E33" s="131"/>
      <c r="F33" s="131"/>
    </row>
    <row r="34" spans="2:6" ht="20.25" customHeight="1" x14ac:dyDescent="0.2">
      <c r="B34" s="41" t="s">
        <v>20</v>
      </c>
      <c r="C34" s="42" t="s">
        <v>127</v>
      </c>
      <c r="D34" s="43" t="s">
        <v>126</v>
      </c>
      <c r="E34" s="44"/>
      <c r="F34" s="44"/>
    </row>
    <row r="35" spans="2:6" ht="20.25" customHeight="1" x14ac:dyDescent="0.2">
      <c r="B35" s="41" t="s">
        <v>20</v>
      </c>
      <c r="C35" s="45" t="s">
        <v>128</v>
      </c>
      <c r="D35" s="46" t="s">
        <v>126</v>
      </c>
      <c r="E35" s="47"/>
      <c r="F35" s="47"/>
    </row>
    <row r="36" spans="2:6" ht="20.25" customHeight="1" x14ac:dyDescent="0.2">
      <c r="B36" s="41" t="s">
        <v>20</v>
      </c>
      <c r="C36" s="42" t="s">
        <v>129</v>
      </c>
      <c r="D36" s="43" t="s">
        <v>126</v>
      </c>
      <c r="E36" s="44"/>
      <c r="F36" s="44"/>
    </row>
    <row r="37" spans="2:6" ht="20.25" customHeight="1" x14ac:dyDescent="0.2">
      <c r="B37" s="41" t="s">
        <v>20</v>
      </c>
      <c r="C37" s="45" t="s">
        <v>130</v>
      </c>
      <c r="D37" s="46" t="s">
        <v>126</v>
      </c>
      <c r="E37" s="47"/>
      <c r="F37" s="47"/>
    </row>
    <row r="38" spans="2:6" ht="20.25" customHeight="1" x14ac:dyDescent="0.2">
      <c r="B38" s="41" t="s">
        <v>20</v>
      </c>
      <c r="C38" s="42" t="s">
        <v>131</v>
      </c>
      <c r="D38" s="43" t="s">
        <v>126</v>
      </c>
      <c r="E38" s="44"/>
      <c r="F38" s="44"/>
    </row>
    <row r="39" spans="2:6" ht="22.5" customHeight="1" x14ac:dyDescent="0.2">
      <c r="B39" s="131" t="s">
        <v>132</v>
      </c>
      <c r="C39" s="131"/>
      <c r="D39" s="131"/>
      <c r="E39" s="131"/>
      <c r="F39" s="131"/>
    </row>
    <row r="40" spans="2:6" ht="20.25" customHeight="1" x14ac:dyDescent="0.2">
      <c r="B40" s="41" t="s">
        <v>20</v>
      </c>
      <c r="C40" s="42" t="s">
        <v>133</v>
      </c>
      <c r="D40" s="43" t="s">
        <v>132</v>
      </c>
      <c r="E40" s="44"/>
      <c r="F40" s="44"/>
    </row>
    <row r="41" spans="2:6" ht="20.25" customHeight="1" x14ac:dyDescent="0.2">
      <c r="B41" s="41" t="s">
        <v>20</v>
      </c>
      <c r="C41" s="45" t="s">
        <v>134</v>
      </c>
      <c r="D41" s="46" t="s">
        <v>132</v>
      </c>
      <c r="E41" s="47"/>
      <c r="F41" s="47"/>
    </row>
    <row r="42" spans="2:6" ht="20.25" customHeight="1" x14ac:dyDescent="0.2">
      <c r="B42" s="41" t="s">
        <v>20</v>
      </c>
      <c r="C42" s="42" t="s">
        <v>135</v>
      </c>
      <c r="D42" s="43" t="s">
        <v>132</v>
      </c>
      <c r="E42" s="44"/>
      <c r="F42" s="44"/>
    </row>
    <row r="43" spans="2:6" ht="20.25" customHeight="1" x14ac:dyDescent="0.2">
      <c r="B43" s="41" t="s">
        <v>20</v>
      </c>
      <c r="C43" s="45" t="s">
        <v>136</v>
      </c>
      <c r="D43" s="46" t="s">
        <v>132</v>
      </c>
      <c r="E43" s="47"/>
      <c r="F43" s="47"/>
    </row>
    <row r="44" spans="2:6" ht="22.5" customHeight="1" x14ac:dyDescent="0.2">
      <c r="B44" s="131" t="s">
        <v>137</v>
      </c>
      <c r="C44" s="131"/>
      <c r="D44" s="131"/>
      <c r="E44" s="131"/>
      <c r="F44" s="131"/>
    </row>
    <row r="45" spans="2:6" ht="20.25" customHeight="1" x14ac:dyDescent="0.2">
      <c r="B45" s="41" t="s">
        <v>20</v>
      </c>
      <c r="C45" s="42" t="s">
        <v>138</v>
      </c>
      <c r="D45" s="43" t="s">
        <v>137</v>
      </c>
      <c r="E45" s="44"/>
      <c r="F45" s="44"/>
    </row>
    <row r="46" spans="2:6" ht="20.25" customHeight="1" x14ac:dyDescent="0.2">
      <c r="B46" s="41" t="s">
        <v>20</v>
      </c>
      <c r="C46" s="45" t="s">
        <v>139</v>
      </c>
      <c r="D46" s="46" t="s">
        <v>137</v>
      </c>
      <c r="E46" s="47"/>
      <c r="F46" s="47"/>
    </row>
    <row r="47" spans="2:6" ht="20.25" customHeight="1" x14ac:dyDescent="0.2">
      <c r="B47" s="41" t="s">
        <v>20</v>
      </c>
      <c r="C47" s="42" t="s">
        <v>140</v>
      </c>
      <c r="D47" s="43" t="s">
        <v>137</v>
      </c>
      <c r="E47" s="44"/>
      <c r="F47" s="44"/>
    </row>
    <row r="48" spans="2:6" ht="20.25" customHeight="1" x14ac:dyDescent="0.2">
      <c r="B48" s="41" t="s">
        <v>20</v>
      </c>
      <c r="C48" s="45" t="s">
        <v>141</v>
      </c>
      <c r="D48" s="46" t="s">
        <v>137</v>
      </c>
      <c r="E48" s="47"/>
      <c r="F48" s="47"/>
    </row>
    <row r="49" spans="2:6" ht="22.5" customHeight="1" x14ac:dyDescent="0.2">
      <c r="B49" s="131" t="s">
        <v>142</v>
      </c>
      <c r="C49" s="131"/>
      <c r="D49" s="131"/>
      <c r="E49" s="131"/>
      <c r="F49" s="131"/>
    </row>
    <row r="50" spans="2:6" ht="20.25" customHeight="1" x14ac:dyDescent="0.2">
      <c r="B50" s="41" t="s">
        <v>20</v>
      </c>
      <c r="C50" s="42" t="s">
        <v>143</v>
      </c>
      <c r="D50" s="43" t="s">
        <v>142</v>
      </c>
      <c r="E50" s="44"/>
      <c r="F50" s="44"/>
    </row>
    <row r="51" spans="2:6" ht="20.25" customHeight="1" x14ac:dyDescent="0.2">
      <c r="B51" s="41" t="s">
        <v>20</v>
      </c>
      <c r="C51" s="45" t="s">
        <v>144</v>
      </c>
      <c r="D51" s="46" t="s">
        <v>142</v>
      </c>
      <c r="E51" s="47"/>
      <c r="F51" s="47"/>
    </row>
    <row r="52" spans="2:6" ht="20.25" customHeight="1" x14ac:dyDescent="0.2">
      <c r="B52" s="41" t="s">
        <v>20</v>
      </c>
      <c r="C52" s="42" t="s">
        <v>145</v>
      </c>
      <c r="D52" s="43" t="s">
        <v>142</v>
      </c>
      <c r="E52" s="44"/>
      <c r="F52" s="44"/>
    </row>
    <row r="53" spans="2:6" ht="22.5" customHeight="1" x14ac:dyDescent="0.2">
      <c r="B53" s="131" t="s">
        <v>146</v>
      </c>
      <c r="C53" s="131"/>
      <c r="D53" s="131"/>
      <c r="E53" s="131"/>
      <c r="F53" s="131"/>
    </row>
    <row r="54" spans="2:6" ht="20.25" customHeight="1" x14ac:dyDescent="0.2">
      <c r="B54" s="41" t="s">
        <v>20</v>
      </c>
      <c r="C54" s="42" t="s">
        <v>147</v>
      </c>
      <c r="D54" s="43" t="s">
        <v>146</v>
      </c>
      <c r="E54" s="44"/>
      <c r="F54" s="44"/>
    </row>
    <row r="55" spans="2:6" ht="20.25" customHeight="1" x14ac:dyDescent="0.2">
      <c r="B55" s="41" t="s">
        <v>20</v>
      </c>
      <c r="C55" s="45" t="s">
        <v>148</v>
      </c>
      <c r="D55" s="46" t="s">
        <v>146</v>
      </c>
      <c r="E55" s="47"/>
      <c r="F55" s="47"/>
    </row>
    <row r="56" spans="2:6" ht="20.25" customHeight="1" x14ac:dyDescent="0.2">
      <c r="B56" s="41" t="s">
        <v>20</v>
      </c>
      <c r="C56" s="42" t="s">
        <v>149</v>
      </c>
      <c r="D56" s="43" t="s">
        <v>146</v>
      </c>
      <c r="E56" s="44"/>
      <c r="F56" s="44"/>
    </row>
    <row r="57" spans="2:6" ht="20.25" customHeight="1" x14ac:dyDescent="0.2">
      <c r="B57" s="41" t="s">
        <v>20</v>
      </c>
      <c r="C57" s="45" t="s">
        <v>150</v>
      </c>
      <c r="D57" s="46" t="s">
        <v>146</v>
      </c>
      <c r="E57" s="47"/>
      <c r="F57" s="47"/>
    </row>
  </sheetData>
  <mergeCells count="11">
    <mergeCell ref="B1:F1"/>
    <mergeCell ref="C6:D6"/>
    <mergeCell ref="B9:F9"/>
    <mergeCell ref="B15:F15"/>
    <mergeCell ref="B21:F21"/>
    <mergeCell ref="B53:F53"/>
    <mergeCell ref="B27:F27"/>
    <mergeCell ref="B33:F33"/>
    <mergeCell ref="B39:F39"/>
    <mergeCell ref="B44:F44"/>
    <mergeCell ref="B49:F49"/>
  </mergeCells>
  <conditionalFormatting sqref="B9:B57">
    <cfRule type="cellIs" dxfId="3" priority="3" operator="equal">
      <formula>"Erledigt"</formula>
    </cfRule>
  </conditionalFormatting>
  <conditionalFormatting sqref="B9:F57">
    <cfRule type="expression" dxfId="2" priority="2">
      <formula>$B9="Erledigt"</formula>
    </cfRule>
  </conditionalFormatting>
  <dataValidations count="1">
    <dataValidation type="list" allowBlank="1" sqref="B9:B57" xr:uid="{00000000-0002-0000-0200-000000000000}">
      <formula1>"Offen,Erledigt"</formula1>
      <formula2>0</formula2>
    </dataValidation>
  </dataValidations>
  <pageMargins left="0.3" right="0.3" top="0.4" bottom="0.4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CB8AE"/>
    <pageSetUpPr fitToPage="1"/>
  </sheetPr>
  <dimension ref="A1:S1000"/>
  <sheetViews>
    <sheetView showGridLines="0" zoomScaleNormal="125" workbookViewId="0">
      <pane xSplit="1" ySplit="9" topLeftCell="C10" activePane="bottomRight" state="frozen"/>
      <selection pane="topRight" activeCell="B1" sqref="B1"/>
      <selection pane="bottomLeft" activeCell="A10" sqref="A10"/>
      <selection pane="bottomRight" activeCell="I3" sqref="I3"/>
    </sheetView>
  </sheetViews>
  <sheetFormatPr baseColWidth="10" defaultColWidth="8.6640625" defaultRowHeight="15" x14ac:dyDescent="0.2"/>
  <cols>
    <col min="1" max="1" width="2.5" style="76" customWidth="1"/>
    <col min="2" max="2" width="28" customWidth="1"/>
    <col min="3" max="3" width="12" customWidth="1"/>
    <col min="4" max="4" width="18" customWidth="1"/>
    <col min="5" max="5" width="14" customWidth="1"/>
    <col min="6" max="6" width="22" customWidth="1"/>
    <col min="7" max="7" width="10" customWidth="1"/>
    <col min="8" max="8" width="30.5" customWidth="1"/>
    <col min="9" max="9" width="15" customWidth="1"/>
    <col min="10" max="10" width="2.5" style="76" customWidth="1"/>
    <col min="11" max="11" width="26" customWidth="1"/>
    <col min="12" max="13" width="8" customWidth="1"/>
    <col min="14" max="14" width="2.5" style="76" customWidth="1"/>
    <col min="15" max="15" width="26" customWidth="1"/>
    <col min="16" max="17" width="8" customWidth="1"/>
    <col min="18" max="18" width="3.1640625" style="76" customWidth="1"/>
    <col min="19" max="19" width="6" hidden="1" customWidth="1"/>
  </cols>
  <sheetData>
    <row r="1" spans="1:19" ht="30" customHeight="1" x14ac:dyDescent="0.2">
      <c r="A1"/>
      <c r="B1" s="129" t="s">
        <v>151</v>
      </c>
      <c r="C1" s="129"/>
      <c r="D1" s="129"/>
      <c r="E1" s="129"/>
      <c r="F1" s="129"/>
      <c r="G1" s="129"/>
      <c r="H1" s="129"/>
      <c r="J1"/>
      <c r="K1" s="140" t="s">
        <v>152</v>
      </c>
      <c r="L1" s="140"/>
      <c r="M1" s="140"/>
      <c r="N1" s="140"/>
      <c r="O1" s="140"/>
      <c r="P1" s="140"/>
      <c r="Q1" s="140"/>
      <c r="R1"/>
    </row>
    <row r="2" spans="1:19" ht="10.5" customHeight="1" x14ac:dyDescent="0.2">
      <c r="A2" s="78"/>
      <c r="B2" s="79"/>
      <c r="C2" s="79"/>
      <c r="D2" s="79"/>
      <c r="E2" s="79"/>
      <c r="F2" s="79"/>
      <c r="G2" s="79"/>
      <c r="H2" s="79"/>
      <c r="I2" s="78"/>
      <c r="J2" s="78"/>
      <c r="K2" s="80"/>
      <c r="L2" s="80"/>
      <c r="M2" s="80"/>
      <c r="N2" s="80"/>
      <c r="O2" s="80"/>
      <c r="P2" s="80"/>
      <c r="Q2" s="80"/>
      <c r="R2" s="78"/>
    </row>
    <row r="3" spans="1:19" ht="39.75" customHeight="1" x14ac:dyDescent="0.2">
      <c r="B3" s="141" t="s">
        <v>153</v>
      </c>
      <c r="C3" s="141"/>
      <c r="D3" s="141"/>
      <c r="E3" s="141"/>
      <c r="F3" s="141"/>
      <c r="G3" s="141"/>
      <c r="H3" s="141"/>
      <c r="I3" s="76"/>
      <c r="K3" s="142" t="s">
        <v>154</v>
      </c>
      <c r="L3" s="142"/>
      <c r="M3" s="142"/>
      <c r="N3" s="142"/>
      <c r="O3" s="142"/>
      <c r="P3" s="142"/>
      <c r="Q3" s="142"/>
    </row>
    <row r="4" spans="1:19" x14ac:dyDescent="0.2">
      <c r="B4" s="76"/>
      <c r="C4" s="76"/>
      <c r="D4" s="76"/>
      <c r="E4" s="76"/>
      <c r="F4" s="76"/>
      <c r="G4" s="76"/>
      <c r="H4" s="76"/>
      <c r="I4" s="76"/>
      <c r="K4" s="76"/>
      <c r="L4" s="76"/>
      <c r="M4" s="76"/>
      <c r="O4" s="76"/>
      <c r="P4" s="76"/>
      <c r="Q4" s="76"/>
    </row>
    <row r="5" spans="1:19" ht="18" customHeight="1" x14ac:dyDescent="0.2">
      <c r="B5" s="143" t="s">
        <v>155</v>
      </c>
      <c r="C5" s="143"/>
      <c r="D5" s="144" t="s">
        <v>156</v>
      </c>
      <c r="E5" s="144"/>
      <c r="F5" s="145" t="s">
        <v>157</v>
      </c>
      <c r="G5" s="145"/>
      <c r="H5" s="48" t="s">
        <v>158</v>
      </c>
      <c r="I5" s="76"/>
      <c r="K5" s="49" t="s">
        <v>159</v>
      </c>
      <c r="L5" s="146" t="s">
        <v>160</v>
      </c>
      <c r="M5" s="146"/>
      <c r="O5" s="49" t="s">
        <v>161</v>
      </c>
      <c r="P5" s="147" t="s">
        <v>162</v>
      </c>
      <c r="Q5" s="147"/>
    </row>
    <row r="6" spans="1:19" ht="24" customHeight="1" x14ac:dyDescent="0.2">
      <c r="B6" s="135">
        <f>SUM(C10:C1000)</f>
        <v>11</v>
      </c>
      <c r="C6" s="135"/>
      <c r="D6" s="136">
        <f>SUMIF(E10:E1000,"Zugesagt",C10:C1000)</f>
        <v>9</v>
      </c>
      <c r="E6" s="136"/>
      <c r="F6" s="137">
        <f>SUMIF(E10:E1000,"Abgesagt",C10:C1000)</f>
        <v>1</v>
      </c>
      <c r="G6" s="137"/>
      <c r="H6" s="50">
        <f>SUMIF(E10:E1000,"Offen",C10:C1000)</f>
        <v>1</v>
      </c>
      <c r="I6" s="76"/>
      <c r="K6" s="51">
        <f>SUM(K12,O12,K29,O29,K46,O46,K63,O63,K80,O80,K97,O97,K114,O114,K131,O131,K148,O148,K165,O165,K182,O182,K199,O199,K216,O216,K233,O233,K250,O250)</f>
        <v>300</v>
      </c>
      <c r="L6" s="138">
        <f>SUMIFS($C$10:$C$309,$G$10:$G$309,"&lt;&gt;")</f>
        <v>9</v>
      </c>
      <c r="M6" s="138"/>
      <c r="O6" s="51">
        <f>K6-L6</f>
        <v>291</v>
      </c>
      <c r="P6" s="139">
        <f>SUMIFS($C$10:$C$309,$E$10:$E$309,"Zugesagt",$G$10:$G$309,"")</f>
        <v>0</v>
      </c>
      <c r="Q6" s="139"/>
    </row>
    <row r="7" spans="1:19" x14ac:dyDescent="0.2">
      <c r="B7" s="76"/>
      <c r="C7" s="76"/>
      <c r="D7" s="76"/>
      <c r="E7" s="76"/>
      <c r="F7" s="76"/>
      <c r="G7" s="76"/>
      <c r="H7" s="76"/>
      <c r="I7" s="76"/>
      <c r="K7" s="76"/>
      <c r="L7" s="76"/>
      <c r="M7" s="76"/>
      <c r="O7" s="76"/>
      <c r="P7" s="76"/>
      <c r="Q7" s="76"/>
    </row>
    <row r="8" spans="1:19" ht="6" customHeight="1" x14ac:dyDescent="0.2">
      <c r="B8" s="76"/>
      <c r="C8" s="76"/>
      <c r="D8" s="76"/>
      <c r="E8" s="76"/>
      <c r="F8" s="76"/>
      <c r="G8" s="76"/>
      <c r="H8" s="76"/>
      <c r="I8" s="76"/>
      <c r="K8" s="76"/>
      <c r="L8" s="76"/>
      <c r="M8" s="76"/>
      <c r="O8" s="76"/>
      <c r="P8" s="76"/>
      <c r="Q8" s="76"/>
    </row>
    <row r="9" spans="1:19" ht="24" customHeight="1" x14ac:dyDescent="0.2">
      <c r="B9" s="52" t="s">
        <v>163</v>
      </c>
      <c r="C9" s="53" t="s">
        <v>164</v>
      </c>
      <c r="D9" s="53" t="s">
        <v>165</v>
      </c>
      <c r="E9" s="53" t="s">
        <v>47</v>
      </c>
      <c r="F9" s="52" t="s">
        <v>166</v>
      </c>
      <c r="G9" s="53" t="s">
        <v>167</v>
      </c>
      <c r="H9" s="52" t="s">
        <v>48</v>
      </c>
      <c r="I9" s="53" t="s">
        <v>168</v>
      </c>
      <c r="K9" s="134" t="s">
        <v>169</v>
      </c>
      <c r="L9" s="134"/>
      <c r="M9" s="134"/>
      <c r="N9" s="134"/>
      <c r="O9" s="134"/>
      <c r="P9" s="134"/>
      <c r="Q9" s="134"/>
    </row>
    <row r="10" spans="1:19" ht="18.75" customHeight="1" x14ac:dyDescent="0.2">
      <c r="B10" s="54" t="s">
        <v>170</v>
      </c>
      <c r="C10" s="55">
        <v>4</v>
      </c>
      <c r="D10" s="55" t="s">
        <v>171</v>
      </c>
      <c r="E10" s="56" t="s">
        <v>172</v>
      </c>
      <c r="F10" s="56" t="s">
        <v>173</v>
      </c>
      <c r="G10" s="55">
        <v>1</v>
      </c>
      <c r="H10" s="57" t="s">
        <v>174</v>
      </c>
      <c r="I10" s="58" t="str">
        <f t="shared" ref="I10:I73" si="0">IF($B10="","",IF(AND($E10="Zugesagt",$G10=""),"Tisch wählen!",IF($G10&lt;&gt;"","✓","")))</f>
        <v>✓</v>
      </c>
      <c r="K10" s="133" t="s">
        <v>175</v>
      </c>
      <c r="L10" s="133"/>
      <c r="M10" s="133"/>
      <c r="N10" s="77"/>
      <c r="O10" s="133" t="s">
        <v>176</v>
      </c>
      <c r="P10" s="133"/>
      <c r="Q10" s="133"/>
      <c r="S10" s="60" t="str">
        <f>IF($G10="","",$G10&amp;"#"&amp;COUNTIF($G$10:$G10,$G10))</f>
        <v>1#1</v>
      </c>
    </row>
    <row r="11" spans="1:19" ht="18.75" customHeight="1" x14ac:dyDescent="0.2">
      <c r="B11" s="61" t="s">
        <v>177</v>
      </c>
      <c r="C11" s="62">
        <v>2</v>
      </c>
      <c r="D11" s="62" t="s">
        <v>171</v>
      </c>
      <c r="E11" s="63" t="s">
        <v>172</v>
      </c>
      <c r="F11" s="63"/>
      <c r="G11" s="62">
        <v>1</v>
      </c>
      <c r="H11" s="64"/>
      <c r="I11" s="65" t="str">
        <f t="shared" si="0"/>
        <v>✓</v>
      </c>
      <c r="K11" s="66" t="s">
        <v>178</v>
      </c>
      <c r="L11" s="66" t="s">
        <v>160</v>
      </c>
      <c r="M11" s="66" t="s">
        <v>179</v>
      </c>
      <c r="N11" s="77"/>
      <c r="O11" s="66" t="s">
        <v>178</v>
      </c>
      <c r="P11" s="66" t="s">
        <v>160</v>
      </c>
      <c r="Q11" s="66" t="s">
        <v>179</v>
      </c>
      <c r="S11" s="60" t="str">
        <f>IF($G11="","",$G11&amp;"#"&amp;COUNTIF($G$10:$G11,$G11))</f>
        <v>1#2</v>
      </c>
    </row>
    <row r="12" spans="1:19" ht="18.75" customHeight="1" x14ac:dyDescent="0.2">
      <c r="B12" s="54" t="s">
        <v>180</v>
      </c>
      <c r="C12" s="55">
        <v>1</v>
      </c>
      <c r="D12" s="55" t="s">
        <v>171</v>
      </c>
      <c r="E12" s="56" t="s">
        <v>20</v>
      </c>
      <c r="F12" s="56" t="s">
        <v>181</v>
      </c>
      <c r="G12" s="55"/>
      <c r="H12" s="57" t="s">
        <v>182</v>
      </c>
      <c r="I12" s="58" t="str">
        <f t="shared" si="0"/>
        <v/>
      </c>
      <c r="K12" s="67">
        <v>10</v>
      </c>
      <c r="L12" s="68">
        <f>SUMIF($G$10:$G$309,1,$C$10:$C$309)</f>
        <v>6</v>
      </c>
      <c r="M12" s="68">
        <f>K12-L12</f>
        <v>4</v>
      </c>
      <c r="N12" s="77"/>
      <c r="O12" s="67">
        <v>10</v>
      </c>
      <c r="P12" s="68">
        <f>SUMIF($G$10:$G$309,2,$C$10:$C$309)</f>
        <v>0</v>
      </c>
      <c r="Q12" s="68">
        <f>O12-P12</f>
        <v>10</v>
      </c>
      <c r="S12" s="60" t="str">
        <f>IF($G12="","",$G12&amp;"#"&amp;COUNTIF($G$10:$G12,$G12))</f>
        <v/>
      </c>
    </row>
    <row r="13" spans="1:19" ht="18.75" customHeight="1" x14ac:dyDescent="0.2">
      <c r="B13" s="61" t="s">
        <v>183</v>
      </c>
      <c r="C13" s="62">
        <v>3</v>
      </c>
      <c r="D13" s="62" t="s">
        <v>184</v>
      </c>
      <c r="E13" s="63" t="s">
        <v>172</v>
      </c>
      <c r="F13" s="63"/>
      <c r="G13" s="62">
        <v>3</v>
      </c>
      <c r="H13" s="64"/>
      <c r="I13" s="65" t="str">
        <f t="shared" si="0"/>
        <v>✓</v>
      </c>
      <c r="K13" s="69" t="s">
        <v>163</v>
      </c>
      <c r="L13" s="70" t="s">
        <v>185</v>
      </c>
      <c r="M13" s="70"/>
      <c r="N13" s="77"/>
      <c r="O13" s="69" t="s">
        <v>163</v>
      </c>
      <c r="P13" s="70" t="s">
        <v>185</v>
      </c>
      <c r="Q13" s="70"/>
      <c r="S13" s="60" t="str">
        <f>IF($G13="","",$G13&amp;"#"&amp;COUNTIF($G$10:$G13,$G13))</f>
        <v>3#1</v>
      </c>
    </row>
    <row r="14" spans="1:19" ht="18.75" customHeight="1" x14ac:dyDescent="0.2">
      <c r="B14" s="54" t="s">
        <v>186</v>
      </c>
      <c r="C14" s="55">
        <v>1</v>
      </c>
      <c r="D14" s="55" t="s">
        <v>187</v>
      </c>
      <c r="E14" s="56" t="s">
        <v>188</v>
      </c>
      <c r="F14" s="56"/>
      <c r="G14" s="55"/>
      <c r="H14" s="57"/>
      <c r="I14" s="58" t="str">
        <f t="shared" si="0"/>
        <v/>
      </c>
      <c r="K14" s="63" t="str">
        <f>IFERROR(INDEX($B$10:$B$309,MATCH("1#1",$S$10:$S$309,0)),"")</f>
        <v>Familie Müller</v>
      </c>
      <c r="L14" s="62">
        <f>IF(K14="","",INDEX($C$10:$C$309,MATCH("1#1",$S$10:$S$309,0)))</f>
        <v>4</v>
      </c>
      <c r="M14" s="71"/>
      <c r="N14" s="77"/>
      <c r="O14" s="63" t="str">
        <f>IFERROR(INDEX($B$10:$B$309,MATCH("2#1",$S$10:$S$309,0)),"")</f>
        <v/>
      </c>
      <c r="P14" s="62" t="str">
        <f>IF(O14="","",INDEX($C$10:$C$309,MATCH("2#1",$S$10:$S$309,0)))</f>
        <v/>
      </c>
      <c r="Q14" s="71"/>
      <c r="S14" s="60" t="str">
        <f>IF($G14="","",$G14&amp;"#"&amp;COUNTIF($G$10:$G14,$G14))</f>
        <v/>
      </c>
    </row>
    <row r="15" spans="1:19" ht="18.75" customHeight="1" x14ac:dyDescent="0.2">
      <c r="B15" s="61"/>
      <c r="C15" s="62"/>
      <c r="D15" s="62"/>
      <c r="E15" s="63"/>
      <c r="F15" s="63"/>
      <c r="G15" s="62"/>
      <c r="H15" s="64"/>
      <c r="I15" s="65" t="str">
        <f t="shared" si="0"/>
        <v/>
      </c>
      <c r="K15" s="72" t="str">
        <f>IFERROR(INDEX($B$10:$B$309,MATCH("1#2",$S$10:$S$309,0)),"")</f>
        <v>Anna &amp; Tim</v>
      </c>
      <c r="L15" s="73">
        <f>IF(K15="","",INDEX($C$10:$C$309,MATCH("1#2",$S$10:$S$309,0)))</f>
        <v>2</v>
      </c>
      <c r="M15" s="74"/>
      <c r="N15" s="77"/>
      <c r="O15" s="72" t="str">
        <f>IFERROR(INDEX($B$10:$B$309,MATCH("2#2",$S$10:$S$309,0)),"")</f>
        <v/>
      </c>
      <c r="P15" s="73" t="str">
        <f>IF(O15="","",INDEX($C$10:$C$309,MATCH("2#2",$S$10:$S$309,0)))</f>
        <v/>
      </c>
      <c r="Q15" s="74"/>
      <c r="S15" s="60" t="str">
        <f>IF($G15="","",$G15&amp;"#"&amp;COUNTIF($G$10:$G15,$G15))</f>
        <v/>
      </c>
    </row>
    <row r="16" spans="1:19" ht="18.75" customHeight="1" x14ac:dyDescent="0.2">
      <c r="B16" s="54"/>
      <c r="C16" s="55"/>
      <c r="D16" s="55"/>
      <c r="E16" s="56"/>
      <c r="F16" s="56"/>
      <c r="G16" s="55"/>
      <c r="H16" s="57"/>
      <c r="I16" s="58" t="str">
        <f t="shared" si="0"/>
        <v/>
      </c>
      <c r="K16" s="63" t="str">
        <f>IFERROR(INDEX($B$10:$B$309,MATCH("1#3",$S$10:$S$309,0)),"")</f>
        <v/>
      </c>
      <c r="L16" s="62" t="str">
        <f>IF(K16="","",INDEX($C$10:$C$309,MATCH("1#3",$S$10:$S$309,0)))</f>
        <v/>
      </c>
      <c r="M16" s="71"/>
      <c r="N16" s="77"/>
      <c r="O16" s="63" t="str">
        <f>IFERROR(INDEX($B$10:$B$309,MATCH("2#3",$S$10:$S$309,0)),"")</f>
        <v/>
      </c>
      <c r="P16" s="62" t="str">
        <f>IF(O16="","",INDEX($C$10:$C$309,MATCH("2#3",$S$10:$S$309,0)))</f>
        <v/>
      </c>
      <c r="Q16" s="71"/>
      <c r="S16" s="60" t="str">
        <f>IF($G16="","",$G16&amp;"#"&amp;COUNTIF($G$10:$G16,$G16))</f>
        <v/>
      </c>
    </row>
    <row r="17" spans="2:19" ht="18.75" customHeight="1" x14ac:dyDescent="0.2">
      <c r="B17" s="61"/>
      <c r="C17" s="62"/>
      <c r="D17" s="62"/>
      <c r="E17" s="63"/>
      <c r="F17" s="63"/>
      <c r="G17" s="62"/>
      <c r="H17" s="64"/>
      <c r="I17" s="65" t="str">
        <f t="shared" si="0"/>
        <v/>
      </c>
      <c r="K17" s="72" t="str">
        <f>IFERROR(INDEX($B$10:$B$309,MATCH("1#4",$S$10:$S$309,0)),"")</f>
        <v/>
      </c>
      <c r="L17" s="73" t="str">
        <f>IF(K17="","",INDEX($C$10:$C$309,MATCH("1#4",$S$10:$S$309,0)))</f>
        <v/>
      </c>
      <c r="M17" s="74"/>
      <c r="N17" s="77"/>
      <c r="O17" s="72" t="str">
        <f>IFERROR(INDEX($B$10:$B$309,MATCH("2#4",$S$10:$S$309,0)),"")</f>
        <v/>
      </c>
      <c r="P17" s="73" t="str">
        <f>IF(O17="","",INDEX($C$10:$C$309,MATCH("2#4",$S$10:$S$309,0)))</f>
        <v/>
      </c>
      <c r="Q17" s="74"/>
      <c r="S17" s="60" t="str">
        <f>IF($G17="","",$G17&amp;"#"&amp;COUNTIF($G$10:$G17,$G17))</f>
        <v/>
      </c>
    </row>
    <row r="18" spans="2:19" ht="18.75" customHeight="1" x14ac:dyDescent="0.2">
      <c r="B18" s="54"/>
      <c r="C18" s="55"/>
      <c r="D18" s="55"/>
      <c r="E18" s="56"/>
      <c r="F18" s="56"/>
      <c r="G18" s="55"/>
      <c r="H18" s="57"/>
      <c r="I18" s="58" t="str">
        <f t="shared" si="0"/>
        <v/>
      </c>
      <c r="K18" s="63" t="str">
        <f>IFERROR(INDEX($B$10:$B$309,MATCH("1#5",$S$10:$S$309,0)),"")</f>
        <v/>
      </c>
      <c r="L18" s="62" t="str">
        <f>IF(K18="","",INDEX($C$10:$C$309,MATCH("1#5",$S$10:$S$309,0)))</f>
        <v/>
      </c>
      <c r="M18" s="71"/>
      <c r="N18" s="77"/>
      <c r="O18" s="63" t="str">
        <f>IFERROR(INDEX($B$10:$B$309,MATCH("2#5",$S$10:$S$309,0)),"")</f>
        <v/>
      </c>
      <c r="P18" s="62" t="str">
        <f>IF(O18="","",INDEX($C$10:$C$309,MATCH("2#5",$S$10:$S$309,0)))</f>
        <v/>
      </c>
      <c r="Q18" s="71"/>
      <c r="S18" s="60" t="str">
        <f>IF($G18="","",$G18&amp;"#"&amp;COUNTIF($G$10:$G18,$G18))</f>
        <v/>
      </c>
    </row>
    <row r="19" spans="2:19" ht="18.75" customHeight="1" x14ac:dyDescent="0.2">
      <c r="B19" s="61"/>
      <c r="C19" s="62"/>
      <c r="D19" s="62"/>
      <c r="E19" s="63"/>
      <c r="F19" s="63"/>
      <c r="G19" s="62"/>
      <c r="H19" s="64"/>
      <c r="I19" s="65" t="str">
        <f t="shared" si="0"/>
        <v/>
      </c>
      <c r="K19" s="72" t="str">
        <f>IFERROR(INDEX($B$10:$B$309,MATCH("1#6",$S$10:$S$309,0)),"")</f>
        <v/>
      </c>
      <c r="L19" s="73" t="str">
        <f>IF(K19="","",INDEX($C$10:$C$309,MATCH("1#6",$S$10:$S$309,0)))</f>
        <v/>
      </c>
      <c r="M19" s="74"/>
      <c r="N19" s="77"/>
      <c r="O19" s="72" t="str">
        <f>IFERROR(INDEX($B$10:$B$309,MATCH("2#6",$S$10:$S$309,0)),"")</f>
        <v/>
      </c>
      <c r="P19" s="73" t="str">
        <f>IF(O19="","",INDEX($C$10:$C$309,MATCH("2#6",$S$10:$S$309,0)))</f>
        <v/>
      </c>
      <c r="Q19" s="74"/>
      <c r="S19" s="60" t="str">
        <f>IF($G19="","",$G19&amp;"#"&amp;COUNTIF($G$10:$G19,$G19))</f>
        <v/>
      </c>
    </row>
    <row r="20" spans="2:19" ht="18.75" customHeight="1" x14ac:dyDescent="0.2">
      <c r="B20" s="54"/>
      <c r="C20" s="55"/>
      <c r="D20" s="55"/>
      <c r="E20" s="56"/>
      <c r="F20" s="56"/>
      <c r="G20" s="55"/>
      <c r="H20" s="57"/>
      <c r="I20" s="58" t="str">
        <f t="shared" si="0"/>
        <v/>
      </c>
      <c r="K20" s="63" t="str">
        <f>IFERROR(INDEX($B$10:$B$309,MATCH("1#7",$S$10:$S$309,0)),"")</f>
        <v/>
      </c>
      <c r="L20" s="62" t="str">
        <f>IF(K20="","",INDEX($C$10:$C$309,MATCH("1#7",$S$10:$S$309,0)))</f>
        <v/>
      </c>
      <c r="M20" s="71"/>
      <c r="N20" s="77"/>
      <c r="O20" s="63" t="str">
        <f>IFERROR(INDEX($B$10:$B$309,MATCH("2#7",$S$10:$S$309,0)),"")</f>
        <v/>
      </c>
      <c r="P20" s="62" t="str">
        <f>IF(O20="","",INDEX($C$10:$C$309,MATCH("2#7",$S$10:$S$309,0)))</f>
        <v/>
      </c>
      <c r="Q20" s="71"/>
      <c r="S20" s="60" t="str">
        <f>IF($G20="","",$G20&amp;"#"&amp;COUNTIF($G$10:$G20,$G20))</f>
        <v/>
      </c>
    </row>
    <row r="21" spans="2:19" ht="18.75" customHeight="1" x14ac:dyDescent="0.2">
      <c r="B21" s="61"/>
      <c r="C21" s="62"/>
      <c r="D21" s="62"/>
      <c r="E21" s="63"/>
      <c r="F21" s="63"/>
      <c r="G21" s="62"/>
      <c r="H21" s="64"/>
      <c r="I21" s="65" t="str">
        <f t="shared" si="0"/>
        <v/>
      </c>
      <c r="K21" s="72" t="str">
        <f>IFERROR(INDEX($B$10:$B$309,MATCH("1#8",$S$10:$S$309,0)),"")</f>
        <v/>
      </c>
      <c r="L21" s="73" t="str">
        <f>IF(K21="","",INDEX($C$10:$C$309,MATCH("1#8",$S$10:$S$309,0)))</f>
        <v/>
      </c>
      <c r="M21" s="74"/>
      <c r="N21" s="77"/>
      <c r="O21" s="72" t="str">
        <f>IFERROR(INDEX($B$10:$B$309,MATCH("2#8",$S$10:$S$309,0)),"")</f>
        <v/>
      </c>
      <c r="P21" s="73" t="str">
        <f>IF(O21="","",INDEX($C$10:$C$309,MATCH("2#8",$S$10:$S$309,0)))</f>
        <v/>
      </c>
      <c r="Q21" s="74"/>
      <c r="S21" s="60" t="str">
        <f>IF($G21="","",$G21&amp;"#"&amp;COUNTIF($G$10:$G21,$G21))</f>
        <v/>
      </c>
    </row>
    <row r="22" spans="2:19" ht="18.75" customHeight="1" x14ac:dyDescent="0.2">
      <c r="B22" s="54"/>
      <c r="C22" s="55"/>
      <c r="D22" s="55"/>
      <c r="E22" s="56"/>
      <c r="F22" s="56"/>
      <c r="G22" s="55"/>
      <c r="H22" s="57"/>
      <c r="I22" s="58" t="str">
        <f t="shared" si="0"/>
        <v/>
      </c>
      <c r="K22" s="63" t="str">
        <f>IFERROR(INDEX($B$10:$B$309,MATCH("1#9",$S$10:$S$309,0)),"")</f>
        <v/>
      </c>
      <c r="L22" s="62" t="str">
        <f>IF(K22="","",INDEX($C$10:$C$309,MATCH("1#9",$S$10:$S$309,0)))</f>
        <v/>
      </c>
      <c r="M22" s="71"/>
      <c r="N22" s="77"/>
      <c r="O22" s="63" t="str">
        <f>IFERROR(INDEX($B$10:$B$309,MATCH("2#9",$S$10:$S$309,0)),"")</f>
        <v/>
      </c>
      <c r="P22" s="62" t="str">
        <f>IF(O22="","",INDEX($C$10:$C$309,MATCH("2#9",$S$10:$S$309,0)))</f>
        <v/>
      </c>
      <c r="Q22" s="71"/>
      <c r="S22" s="60" t="str">
        <f>IF($G22="","",$G22&amp;"#"&amp;COUNTIF($G$10:$G22,$G22))</f>
        <v/>
      </c>
    </row>
    <row r="23" spans="2:19" ht="18.75" customHeight="1" x14ac:dyDescent="0.2">
      <c r="B23" s="61"/>
      <c r="C23" s="62"/>
      <c r="D23" s="62"/>
      <c r="E23" s="63"/>
      <c r="F23" s="63"/>
      <c r="G23" s="62"/>
      <c r="H23" s="64"/>
      <c r="I23" s="65" t="str">
        <f t="shared" si="0"/>
        <v/>
      </c>
      <c r="K23" s="72" t="str">
        <f>IFERROR(INDEX($B$10:$B$309,MATCH("1#10",$S$10:$S$309,0)),"")</f>
        <v/>
      </c>
      <c r="L23" s="73" t="str">
        <f>IF(K23="","",INDEX($C$10:$C$309,MATCH("1#10",$S$10:$S$309,0)))</f>
        <v/>
      </c>
      <c r="M23" s="74"/>
      <c r="N23" s="77"/>
      <c r="O23" s="72" t="str">
        <f>IFERROR(INDEX($B$10:$B$309,MATCH("2#10",$S$10:$S$309,0)),"")</f>
        <v/>
      </c>
      <c r="P23" s="73" t="str">
        <f>IF(O23="","",INDEX($C$10:$C$309,MATCH("2#10",$S$10:$S$309,0)))</f>
        <v/>
      </c>
      <c r="Q23" s="74"/>
      <c r="S23" s="60" t="str">
        <f>IF($G23="","",$G23&amp;"#"&amp;COUNTIF($G$10:$G23,$G23))</f>
        <v/>
      </c>
    </row>
    <row r="24" spans="2:19" ht="18.75" customHeight="1" x14ac:dyDescent="0.2">
      <c r="B24" s="54"/>
      <c r="C24" s="55"/>
      <c r="D24" s="55"/>
      <c r="E24" s="56"/>
      <c r="F24" s="56"/>
      <c r="G24" s="55"/>
      <c r="H24" s="57"/>
      <c r="I24" s="58" t="str">
        <f t="shared" si="0"/>
        <v/>
      </c>
      <c r="K24" s="63" t="str">
        <f>IFERROR(INDEX($B$10:$B$309,MATCH("1#11",$S$10:$S$309,0)),"")</f>
        <v/>
      </c>
      <c r="L24" s="62" t="str">
        <f>IF(K24="","",INDEX($C$10:$C$309,MATCH("1#11",$S$10:$S$309,0)))</f>
        <v/>
      </c>
      <c r="M24" s="71"/>
      <c r="N24" s="77"/>
      <c r="O24" s="63" t="str">
        <f>IFERROR(INDEX($B$10:$B$309,MATCH("2#11",$S$10:$S$309,0)),"")</f>
        <v/>
      </c>
      <c r="P24" s="62" t="str">
        <f>IF(O24="","",INDEX($C$10:$C$309,MATCH("2#11",$S$10:$S$309,0)))</f>
        <v/>
      </c>
      <c r="Q24" s="71"/>
      <c r="S24" s="60" t="str">
        <f>IF($G24="","",$G24&amp;"#"&amp;COUNTIF($G$10:$G24,$G24))</f>
        <v/>
      </c>
    </row>
    <row r="25" spans="2:19" ht="18.75" customHeight="1" x14ac:dyDescent="0.2">
      <c r="B25" s="61"/>
      <c r="C25" s="62"/>
      <c r="D25" s="62"/>
      <c r="E25" s="63"/>
      <c r="F25" s="63"/>
      <c r="G25" s="62"/>
      <c r="H25" s="64"/>
      <c r="I25" s="65" t="str">
        <f t="shared" si="0"/>
        <v/>
      </c>
      <c r="K25" s="72" t="str">
        <f>IFERROR(INDEX($B$10:$B$309,MATCH("1#12",$S$10:$S$309,0)),"")</f>
        <v/>
      </c>
      <c r="L25" s="73" t="str">
        <f>IF(K25="","",INDEX($C$10:$C$309,MATCH("1#12",$S$10:$S$309,0)))</f>
        <v/>
      </c>
      <c r="M25" s="74"/>
      <c r="N25" s="77"/>
      <c r="O25" s="72" t="str">
        <f>IFERROR(INDEX($B$10:$B$309,MATCH("2#12",$S$10:$S$309,0)),"")</f>
        <v/>
      </c>
      <c r="P25" s="73" t="str">
        <f>IF(O25="","",INDEX($C$10:$C$309,MATCH("2#12",$S$10:$S$309,0)))</f>
        <v/>
      </c>
      <c r="Q25" s="74"/>
      <c r="S25" s="60" t="str">
        <f>IF($G25="","",$G25&amp;"#"&amp;COUNTIF($G$10:$G25,$G25))</f>
        <v/>
      </c>
    </row>
    <row r="26" spans="2:19" ht="18.75" customHeight="1" x14ac:dyDescent="0.2">
      <c r="B26" s="54"/>
      <c r="C26" s="55"/>
      <c r="D26" s="55"/>
      <c r="E26" s="56"/>
      <c r="F26" s="56"/>
      <c r="G26" s="55"/>
      <c r="H26" s="57"/>
      <c r="I26" s="58" t="str">
        <f t="shared" si="0"/>
        <v/>
      </c>
      <c r="K26" s="75"/>
      <c r="L26" s="59"/>
      <c r="M26" s="59"/>
      <c r="N26" s="77"/>
      <c r="O26" s="75"/>
      <c r="P26" s="59"/>
      <c r="Q26" s="59"/>
      <c r="S26" s="60" t="str">
        <f>IF($G26="","",$G26&amp;"#"&amp;COUNTIF($G$10:$G26,$G26))</f>
        <v/>
      </c>
    </row>
    <row r="27" spans="2:19" ht="18.75" customHeight="1" x14ac:dyDescent="0.2">
      <c r="B27" s="61"/>
      <c r="C27" s="62"/>
      <c r="D27" s="62"/>
      <c r="E27" s="63"/>
      <c r="F27" s="63"/>
      <c r="G27" s="62"/>
      <c r="H27" s="64"/>
      <c r="I27" s="65" t="str">
        <f t="shared" si="0"/>
        <v/>
      </c>
      <c r="K27" s="133" t="s">
        <v>189</v>
      </c>
      <c r="L27" s="133"/>
      <c r="M27" s="133"/>
      <c r="N27" s="77"/>
      <c r="O27" s="133" t="s">
        <v>190</v>
      </c>
      <c r="P27" s="133"/>
      <c r="Q27" s="133"/>
      <c r="S27" s="60" t="str">
        <f>IF($G27="","",$G27&amp;"#"&amp;COUNTIF($G$10:$G27,$G27))</f>
        <v/>
      </c>
    </row>
    <row r="28" spans="2:19" ht="18.75" customHeight="1" x14ac:dyDescent="0.2">
      <c r="B28" s="54"/>
      <c r="C28" s="55"/>
      <c r="D28" s="55"/>
      <c r="E28" s="56"/>
      <c r="F28" s="56"/>
      <c r="G28" s="55"/>
      <c r="H28" s="57"/>
      <c r="I28" s="58" t="str">
        <f t="shared" si="0"/>
        <v/>
      </c>
      <c r="K28" s="66" t="s">
        <v>178</v>
      </c>
      <c r="L28" s="66" t="s">
        <v>160</v>
      </c>
      <c r="M28" s="66" t="s">
        <v>179</v>
      </c>
      <c r="N28" s="77"/>
      <c r="O28" s="66" t="s">
        <v>178</v>
      </c>
      <c r="P28" s="66" t="s">
        <v>160</v>
      </c>
      <c r="Q28" s="66" t="s">
        <v>179</v>
      </c>
      <c r="S28" s="60" t="str">
        <f>IF($G28="","",$G28&amp;"#"&amp;COUNTIF($G$10:$G28,$G28))</f>
        <v/>
      </c>
    </row>
    <row r="29" spans="2:19" ht="18.75" customHeight="1" x14ac:dyDescent="0.2">
      <c r="B29" s="61"/>
      <c r="C29" s="62"/>
      <c r="D29" s="62"/>
      <c r="E29" s="63"/>
      <c r="F29" s="63"/>
      <c r="G29" s="62"/>
      <c r="H29" s="64"/>
      <c r="I29" s="65" t="str">
        <f t="shared" si="0"/>
        <v/>
      </c>
      <c r="K29" s="67">
        <v>10</v>
      </c>
      <c r="L29" s="68">
        <f>SUMIF($G$10:$G$309,3,$C$10:$C$309)</f>
        <v>3</v>
      </c>
      <c r="M29" s="68">
        <f>K29-L29</f>
        <v>7</v>
      </c>
      <c r="N29" s="77"/>
      <c r="O29" s="67">
        <v>10</v>
      </c>
      <c r="P29" s="68">
        <f>SUMIF($G$10:$G$309,4,$C$10:$C$309)</f>
        <v>0</v>
      </c>
      <c r="Q29" s="68">
        <f>O29-P29</f>
        <v>10</v>
      </c>
      <c r="S29" s="60" t="str">
        <f>IF($G29="","",$G29&amp;"#"&amp;COUNTIF($G$10:$G29,$G29))</f>
        <v/>
      </c>
    </row>
    <row r="30" spans="2:19" ht="18.75" customHeight="1" x14ac:dyDescent="0.2">
      <c r="B30" s="54"/>
      <c r="C30" s="55"/>
      <c r="D30" s="55"/>
      <c r="E30" s="56"/>
      <c r="F30" s="56"/>
      <c r="G30" s="55"/>
      <c r="H30" s="57"/>
      <c r="I30" s="58" t="str">
        <f t="shared" si="0"/>
        <v/>
      </c>
      <c r="K30" s="69" t="s">
        <v>163</v>
      </c>
      <c r="L30" s="70" t="s">
        <v>185</v>
      </c>
      <c r="M30" s="70"/>
      <c r="N30" s="77"/>
      <c r="O30" s="69" t="s">
        <v>163</v>
      </c>
      <c r="P30" s="70" t="s">
        <v>185</v>
      </c>
      <c r="Q30" s="70"/>
      <c r="S30" s="60" t="str">
        <f>IF($G30="","",$G30&amp;"#"&amp;COUNTIF($G$10:$G30,$G30))</f>
        <v/>
      </c>
    </row>
    <row r="31" spans="2:19" ht="18.75" customHeight="1" x14ac:dyDescent="0.2">
      <c r="B31" s="61"/>
      <c r="C31" s="62"/>
      <c r="D31" s="62"/>
      <c r="E31" s="63"/>
      <c r="F31" s="63"/>
      <c r="G31" s="62"/>
      <c r="H31" s="64"/>
      <c r="I31" s="65" t="str">
        <f t="shared" si="0"/>
        <v/>
      </c>
      <c r="K31" s="63" t="str">
        <f>IFERROR(INDEX($B$10:$B$309,MATCH("3#1",$S$10:$S$309,0)),"")</f>
        <v>Familie Schmidt</v>
      </c>
      <c r="L31" s="62">
        <f>IF(K31="","",INDEX($C$10:$C$309,MATCH("3#1",$S$10:$S$309,0)))</f>
        <v>3</v>
      </c>
      <c r="M31" s="71"/>
      <c r="N31" s="77"/>
      <c r="O31" s="63" t="str">
        <f>IFERROR(INDEX($B$10:$B$309,MATCH("4#1",$S$10:$S$309,0)),"")</f>
        <v/>
      </c>
      <c r="P31" s="62" t="str">
        <f>IF(O31="","",INDEX($C$10:$C$309,MATCH("4#1",$S$10:$S$309,0)))</f>
        <v/>
      </c>
      <c r="Q31" s="71"/>
      <c r="S31" s="60" t="str">
        <f>IF($G31="","",$G31&amp;"#"&amp;COUNTIF($G$10:$G31,$G31))</f>
        <v/>
      </c>
    </row>
    <row r="32" spans="2:19" ht="18.75" customHeight="1" x14ac:dyDescent="0.2">
      <c r="B32" s="54"/>
      <c r="C32" s="55"/>
      <c r="D32" s="55"/>
      <c r="E32" s="56"/>
      <c r="F32" s="56"/>
      <c r="G32" s="55"/>
      <c r="H32" s="57"/>
      <c r="I32" s="58" t="str">
        <f t="shared" si="0"/>
        <v/>
      </c>
      <c r="K32" s="72" t="str">
        <f>IFERROR(INDEX($B$10:$B$309,MATCH("3#2",$S$10:$S$309,0)),"")</f>
        <v/>
      </c>
      <c r="L32" s="73" t="str">
        <f>IF(K32="","",INDEX($C$10:$C$309,MATCH("3#2",$S$10:$S$309,0)))</f>
        <v/>
      </c>
      <c r="M32" s="74"/>
      <c r="N32" s="77"/>
      <c r="O32" s="72" t="str">
        <f>IFERROR(INDEX($B$10:$B$309,MATCH("4#2",$S$10:$S$309,0)),"")</f>
        <v/>
      </c>
      <c r="P32" s="73" t="str">
        <f>IF(O32="","",INDEX($C$10:$C$309,MATCH("4#2",$S$10:$S$309,0)))</f>
        <v/>
      </c>
      <c r="Q32" s="74"/>
      <c r="S32" s="60" t="str">
        <f>IF($G32="","",$G32&amp;"#"&amp;COUNTIF($G$10:$G32,$G32))</f>
        <v/>
      </c>
    </row>
    <row r="33" spans="2:19" ht="18.75" customHeight="1" x14ac:dyDescent="0.2">
      <c r="B33" s="61"/>
      <c r="C33" s="62"/>
      <c r="D33" s="62"/>
      <c r="E33" s="63"/>
      <c r="F33" s="63"/>
      <c r="G33" s="62"/>
      <c r="H33" s="64"/>
      <c r="I33" s="65" t="str">
        <f t="shared" si="0"/>
        <v/>
      </c>
      <c r="K33" s="63" t="str">
        <f>IFERROR(INDEX($B$10:$B$309,MATCH("3#3",$S$10:$S$309,0)),"")</f>
        <v/>
      </c>
      <c r="L33" s="62" t="str">
        <f>IF(K33="","",INDEX($C$10:$C$309,MATCH("3#3",$S$10:$S$309,0)))</f>
        <v/>
      </c>
      <c r="M33" s="71"/>
      <c r="N33" s="77"/>
      <c r="O33" s="63" t="str">
        <f>IFERROR(INDEX($B$10:$B$309,MATCH("4#3",$S$10:$S$309,0)),"")</f>
        <v/>
      </c>
      <c r="P33" s="62" t="str">
        <f>IF(O33="","",INDEX($C$10:$C$309,MATCH("4#3",$S$10:$S$309,0)))</f>
        <v/>
      </c>
      <c r="Q33" s="71"/>
      <c r="S33" s="60" t="str">
        <f>IF($G33="","",$G33&amp;"#"&amp;COUNTIF($G$10:$G33,$G33))</f>
        <v/>
      </c>
    </row>
    <row r="34" spans="2:19" ht="18.75" customHeight="1" x14ac:dyDescent="0.2">
      <c r="B34" s="54"/>
      <c r="C34" s="55"/>
      <c r="D34" s="55"/>
      <c r="E34" s="56"/>
      <c r="F34" s="56"/>
      <c r="G34" s="55"/>
      <c r="H34" s="57"/>
      <c r="I34" s="58" t="str">
        <f t="shared" si="0"/>
        <v/>
      </c>
      <c r="K34" s="72" t="str">
        <f>IFERROR(INDEX($B$10:$B$309,MATCH("3#4",$S$10:$S$309,0)),"")</f>
        <v/>
      </c>
      <c r="L34" s="73" t="str">
        <f>IF(K34="","",INDEX($C$10:$C$309,MATCH("3#4",$S$10:$S$309,0)))</f>
        <v/>
      </c>
      <c r="M34" s="74"/>
      <c r="N34" s="77"/>
      <c r="O34" s="72" t="str">
        <f>IFERROR(INDEX($B$10:$B$309,MATCH("4#4",$S$10:$S$309,0)),"")</f>
        <v/>
      </c>
      <c r="P34" s="73" t="str">
        <f>IF(O34="","",INDEX($C$10:$C$309,MATCH("4#4",$S$10:$S$309,0)))</f>
        <v/>
      </c>
      <c r="Q34" s="74"/>
      <c r="S34" s="60" t="str">
        <f>IF($G34="","",$G34&amp;"#"&amp;COUNTIF($G$10:$G34,$G34))</f>
        <v/>
      </c>
    </row>
    <row r="35" spans="2:19" ht="18.75" customHeight="1" x14ac:dyDescent="0.2">
      <c r="B35" s="61"/>
      <c r="C35" s="62"/>
      <c r="D35" s="62"/>
      <c r="E35" s="63"/>
      <c r="F35" s="63"/>
      <c r="G35" s="62"/>
      <c r="H35" s="64"/>
      <c r="I35" s="65" t="str">
        <f t="shared" si="0"/>
        <v/>
      </c>
      <c r="K35" s="63" t="str">
        <f>IFERROR(INDEX($B$10:$B$309,MATCH("3#5",$S$10:$S$309,0)),"")</f>
        <v/>
      </c>
      <c r="L35" s="62" t="str">
        <f>IF(K35="","",INDEX($C$10:$C$309,MATCH("3#5",$S$10:$S$309,0)))</f>
        <v/>
      </c>
      <c r="M35" s="71"/>
      <c r="N35" s="77"/>
      <c r="O35" s="63" t="str">
        <f>IFERROR(INDEX($B$10:$B$309,MATCH("4#5",$S$10:$S$309,0)),"")</f>
        <v/>
      </c>
      <c r="P35" s="62" t="str">
        <f>IF(O35="","",INDEX($C$10:$C$309,MATCH("4#5",$S$10:$S$309,0)))</f>
        <v/>
      </c>
      <c r="Q35" s="71"/>
      <c r="S35" s="60" t="str">
        <f>IF($G35="","",$G35&amp;"#"&amp;COUNTIF($G$10:$G35,$G35))</f>
        <v/>
      </c>
    </row>
    <row r="36" spans="2:19" ht="18.75" customHeight="1" x14ac:dyDescent="0.2">
      <c r="B36" s="54"/>
      <c r="C36" s="55"/>
      <c r="D36" s="55"/>
      <c r="E36" s="56"/>
      <c r="F36" s="56"/>
      <c r="G36" s="55"/>
      <c r="H36" s="57"/>
      <c r="I36" s="58" t="str">
        <f t="shared" si="0"/>
        <v/>
      </c>
      <c r="K36" s="72" t="str">
        <f>IFERROR(INDEX($B$10:$B$309,MATCH("3#6",$S$10:$S$309,0)),"")</f>
        <v/>
      </c>
      <c r="L36" s="73" t="str">
        <f>IF(K36="","",INDEX($C$10:$C$309,MATCH("3#6",$S$10:$S$309,0)))</f>
        <v/>
      </c>
      <c r="M36" s="74"/>
      <c r="N36" s="77"/>
      <c r="O36" s="72" t="str">
        <f>IFERROR(INDEX($B$10:$B$309,MATCH("4#6",$S$10:$S$309,0)),"")</f>
        <v/>
      </c>
      <c r="P36" s="73" t="str">
        <f>IF(O36="","",INDEX($C$10:$C$309,MATCH("4#6",$S$10:$S$309,0)))</f>
        <v/>
      </c>
      <c r="Q36" s="74"/>
      <c r="S36" s="60" t="str">
        <f>IF($G36="","",$G36&amp;"#"&amp;COUNTIF($G$10:$G36,$G36))</f>
        <v/>
      </c>
    </row>
    <row r="37" spans="2:19" ht="18.75" customHeight="1" x14ac:dyDescent="0.2">
      <c r="B37" s="61"/>
      <c r="C37" s="62"/>
      <c r="D37" s="62"/>
      <c r="E37" s="63"/>
      <c r="F37" s="63"/>
      <c r="G37" s="62"/>
      <c r="H37" s="64"/>
      <c r="I37" s="65" t="str">
        <f t="shared" si="0"/>
        <v/>
      </c>
      <c r="K37" s="63" t="str">
        <f>IFERROR(INDEX($B$10:$B$309,MATCH("3#7",$S$10:$S$309,0)),"")</f>
        <v/>
      </c>
      <c r="L37" s="62" t="str">
        <f>IF(K37="","",INDEX($C$10:$C$309,MATCH("3#7",$S$10:$S$309,0)))</f>
        <v/>
      </c>
      <c r="M37" s="71"/>
      <c r="N37" s="77"/>
      <c r="O37" s="63" t="str">
        <f>IFERROR(INDEX($B$10:$B$309,MATCH("4#7",$S$10:$S$309,0)),"")</f>
        <v/>
      </c>
      <c r="P37" s="62" t="str">
        <f>IF(O37="","",INDEX($C$10:$C$309,MATCH("4#7",$S$10:$S$309,0)))</f>
        <v/>
      </c>
      <c r="Q37" s="71"/>
      <c r="S37" s="60" t="str">
        <f>IF($G37="","",$G37&amp;"#"&amp;COUNTIF($G$10:$G37,$G37))</f>
        <v/>
      </c>
    </row>
    <row r="38" spans="2:19" ht="18.75" customHeight="1" x14ac:dyDescent="0.2">
      <c r="B38" s="54"/>
      <c r="C38" s="55"/>
      <c r="D38" s="55"/>
      <c r="E38" s="56"/>
      <c r="F38" s="56"/>
      <c r="G38" s="55"/>
      <c r="H38" s="57"/>
      <c r="I38" s="58" t="str">
        <f t="shared" si="0"/>
        <v/>
      </c>
      <c r="K38" s="72" t="str">
        <f>IFERROR(INDEX($B$10:$B$309,MATCH("3#8",$S$10:$S$309,0)),"")</f>
        <v/>
      </c>
      <c r="L38" s="73" t="str">
        <f>IF(K38="","",INDEX($C$10:$C$309,MATCH("3#8",$S$10:$S$309,0)))</f>
        <v/>
      </c>
      <c r="M38" s="74"/>
      <c r="N38" s="77"/>
      <c r="O38" s="72" t="str">
        <f>IFERROR(INDEX($B$10:$B$309,MATCH("4#8",$S$10:$S$309,0)),"")</f>
        <v/>
      </c>
      <c r="P38" s="73" t="str">
        <f>IF(O38="","",INDEX($C$10:$C$309,MATCH("4#8",$S$10:$S$309,0)))</f>
        <v/>
      </c>
      <c r="Q38" s="74"/>
      <c r="S38" s="60" t="str">
        <f>IF($G38="","",$G38&amp;"#"&amp;COUNTIF($G$10:$G38,$G38))</f>
        <v/>
      </c>
    </row>
    <row r="39" spans="2:19" ht="18.75" customHeight="1" x14ac:dyDescent="0.2">
      <c r="B39" s="61"/>
      <c r="C39" s="62"/>
      <c r="D39" s="62"/>
      <c r="E39" s="63"/>
      <c r="F39" s="63"/>
      <c r="G39" s="62"/>
      <c r="H39" s="64"/>
      <c r="I39" s="65" t="str">
        <f t="shared" si="0"/>
        <v/>
      </c>
      <c r="K39" s="63" t="str">
        <f>IFERROR(INDEX($B$10:$B$309,MATCH("3#9",$S$10:$S$309,0)),"")</f>
        <v/>
      </c>
      <c r="L39" s="62" t="str">
        <f>IF(K39="","",INDEX($C$10:$C$309,MATCH("3#9",$S$10:$S$309,0)))</f>
        <v/>
      </c>
      <c r="M39" s="71"/>
      <c r="N39" s="77"/>
      <c r="O39" s="63" t="str">
        <f>IFERROR(INDEX($B$10:$B$309,MATCH("4#9",$S$10:$S$309,0)),"")</f>
        <v/>
      </c>
      <c r="P39" s="62" t="str">
        <f>IF(O39="","",INDEX($C$10:$C$309,MATCH("4#9",$S$10:$S$309,0)))</f>
        <v/>
      </c>
      <c r="Q39" s="71"/>
      <c r="S39" s="60" t="str">
        <f>IF($G39="","",$G39&amp;"#"&amp;COUNTIF($G$10:$G39,$G39))</f>
        <v/>
      </c>
    </row>
    <row r="40" spans="2:19" ht="18.75" customHeight="1" x14ac:dyDescent="0.2">
      <c r="B40" s="54"/>
      <c r="C40" s="55"/>
      <c r="D40" s="55"/>
      <c r="E40" s="56"/>
      <c r="F40" s="56"/>
      <c r="G40" s="55"/>
      <c r="H40" s="57"/>
      <c r="I40" s="58" t="str">
        <f t="shared" si="0"/>
        <v/>
      </c>
      <c r="K40" s="72" t="str">
        <f>IFERROR(INDEX($B$10:$B$309,MATCH("3#10",$S$10:$S$309,0)),"")</f>
        <v/>
      </c>
      <c r="L40" s="73" t="str">
        <f>IF(K40="","",INDEX($C$10:$C$309,MATCH("3#10",$S$10:$S$309,0)))</f>
        <v/>
      </c>
      <c r="M40" s="74"/>
      <c r="N40" s="77"/>
      <c r="O40" s="72" t="str">
        <f>IFERROR(INDEX($B$10:$B$309,MATCH("4#10",$S$10:$S$309,0)),"")</f>
        <v/>
      </c>
      <c r="P40" s="73" t="str">
        <f>IF(O40="","",INDEX($C$10:$C$309,MATCH("4#10",$S$10:$S$309,0)))</f>
        <v/>
      </c>
      <c r="Q40" s="74"/>
      <c r="S40" s="60" t="str">
        <f>IF($G40="","",$G40&amp;"#"&amp;COUNTIF($G$10:$G40,$G40))</f>
        <v/>
      </c>
    </row>
    <row r="41" spans="2:19" ht="18.75" customHeight="1" x14ac:dyDescent="0.2">
      <c r="B41" s="61"/>
      <c r="C41" s="62"/>
      <c r="D41" s="62"/>
      <c r="E41" s="63"/>
      <c r="F41" s="63"/>
      <c r="G41" s="62"/>
      <c r="H41" s="64"/>
      <c r="I41" s="65" t="str">
        <f t="shared" si="0"/>
        <v/>
      </c>
      <c r="K41" s="63" t="str">
        <f>IFERROR(INDEX($B$10:$B$309,MATCH("3#11",$S$10:$S$309,0)),"")</f>
        <v/>
      </c>
      <c r="L41" s="62" t="str">
        <f>IF(K41="","",INDEX($C$10:$C$309,MATCH("3#11",$S$10:$S$309,0)))</f>
        <v/>
      </c>
      <c r="M41" s="71"/>
      <c r="N41" s="77"/>
      <c r="O41" s="63" t="str">
        <f>IFERROR(INDEX($B$10:$B$309,MATCH("4#11",$S$10:$S$309,0)),"")</f>
        <v/>
      </c>
      <c r="P41" s="62" t="str">
        <f>IF(O41="","",INDEX($C$10:$C$309,MATCH("4#11",$S$10:$S$309,0)))</f>
        <v/>
      </c>
      <c r="Q41" s="71"/>
      <c r="S41" s="60" t="str">
        <f>IF($G41="","",$G41&amp;"#"&amp;COUNTIF($G$10:$G41,$G41))</f>
        <v/>
      </c>
    </row>
    <row r="42" spans="2:19" ht="18.75" customHeight="1" x14ac:dyDescent="0.2">
      <c r="B42" s="54"/>
      <c r="C42" s="55"/>
      <c r="D42" s="55"/>
      <c r="E42" s="56"/>
      <c r="F42" s="56"/>
      <c r="G42" s="55"/>
      <c r="H42" s="57"/>
      <c r="I42" s="58" t="str">
        <f t="shared" si="0"/>
        <v/>
      </c>
      <c r="K42" s="72" t="str">
        <f>IFERROR(INDEX($B$10:$B$309,MATCH("3#12",$S$10:$S$309,0)),"")</f>
        <v/>
      </c>
      <c r="L42" s="73" t="str">
        <f>IF(K42="","",INDEX($C$10:$C$309,MATCH("3#12",$S$10:$S$309,0)))</f>
        <v/>
      </c>
      <c r="M42" s="74"/>
      <c r="N42" s="77"/>
      <c r="O42" s="72" t="str">
        <f>IFERROR(INDEX($B$10:$B$309,MATCH("4#12",$S$10:$S$309,0)),"")</f>
        <v/>
      </c>
      <c r="P42" s="73" t="str">
        <f>IF(O42="","",INDEX($C$10:$C$309,MATCH("4#12",$S$10:$S$309,0)))</f>
        <v/>
      </c>
      <c r="Q42" s="74"/>
      <c r="S42" s="60" t="str">
        <f>IF($G42="","",$G42&amp;"#"&amp;COUNTIF($G$10:$G42,$G42))</f>
        <v/>
      </c>
    </row>
    <row r="43" spans="2:19" ht="18.75" customHeight="1" x14ac:dyDescent="0.2">
      <c r="B43" s="61"/>
      <c r="C43" s="62"/>
      <c r="D43" s="62"/>
      <c r="E43" s="63"/>
      <c r="F43" s="63"/>
      <c r="G43" s="62"/>
      <c r="H43" s="64"/>
      <c r="I43" s="65" t="str">
        <f t="shared" si="0"/>
        <v/>
      </c>
      <c r="K43" s="75"/>
      <c r="L43" s="59"/>
      <c r="M43" s="59"/>
      <c r="N43" s="77"/>
      <c r="O43" s="75"/>
      <c r="P43" s="59"/>
      <c r="Q43" s="59"/>
      <c r="S43" s="60" t="str">
        <f>IF($G43="","",$G43&amp;"#"&amp;COUNTIF($G$10:$G43,$G43))</f>
        <v/>
      </c>
    </row>
    <row r="44" spans="2:19" ht="18.75" customHeight="1" x14ac:dyDescent="0.2">
      <c r="B44" s="54"/>
      <c r="C44" s="55"/>
      <c r="D44" s="55"/>
      <c r="E44" s="56"/>
      <c r="F44" s="56"/>
      <c r="G44" s="55"/>
      <c r="H44" s="57"/>
      <c r="I44" s="58" t="str">
        <f t="shared" si="0"/>
        <v/>
      </c>
      <c r="K44" s="133" t="s">
        <v>191</v>
      </c>
      <c r="L44" s="133"/>
      <c r="M44" s="133"/>
      <c r="N44" s="77"/>
      <c r="O44" s="133" t="s">
        <v>192</v>
      </c>
      <c r="P44" s="133"/>
      <c r="Q44" s="133"/>
      <c r="S44" s="60" t="str">
        <f>IF($G44="","",$G44&amp;"#"&amp;COUNTIF($G$10:$G44,$G44))</f>
        <v/>
      </c>
    </row>
    <row r="45" spans="2:19" ht="18.75" customHeight="1" x14ac:dyDescent="0.2">
      <c r="B45" s="61"/>
      <c r="C45" s="62"/>
      <c r="D45" s="62"/>
      <c r="E45" s="63"/>
      <c r="F45" s="63"/>
      <c r="G45" s="62"/>
      <c r="H45" s="64"/>
      <c r="I45" s="65" t="str">
        <f t="shared" si="0"/>
        <v/>
      </c>
      <c r="K45" s="66" t="s">
        <v>178</v>
      </c>
      <c r="L45" s="66" t="s">
        <v>160</v>
      </c>
      <c r="M45" s="66" t="s">
        <v>179</v>
      </c>
      <c r="N45" s="77"/>
      <c r="O45" s="66" t="s">
        <v>178</v>
      </c>
      <c r="P45" s="66" t="s">
        <v>160</v>
      </c>
      <c r="Q45" s="66" t="s">
        <v>179</v>
      </c>
      <c r="S45" s="60" t="str">
        <f>IF($G45="","",$G45&amp;"#"&amp;COUNTIF($G$10:$G45,$G45))</f>
        <v/>
      </c>
    </row>
    <row r="46" spans="2:19" ht="18.75" customHeight="1" x14ac:dyDescent="0.2">
      <c r="B46" s="54"/>
      <c r="C46" s="55"/>
      <c r="D46" s="55"/>
      <c r="E46" s="56"/>
      <c r="F46" s="56"/>
      <c r="G46" s="55"/>
      <c r="H46" s="57"/>
      <c r="I46" s="58" t="str">
        <f t="shared" si="0"/>
        <v/>
      </c>
      <c r="K46" s="67">
        <v>10</v>
      </c>
      <c r="L46" s="68">
        <f>SUMIF($G$10:$G$309,5,$C$10:$C$309)</f>
        <v>0</v>
      </c>
      <c r="M46" s="68">
        <f>K46-L46</f>
        <v>10</v>
      </c>
      <c r="N46" s="77"/>
      <c r="O46" s="67">
        <v>10</v>
      </c>
      <c r="P46" s="68">
        <f>SUMIF($G$10:$G$309,6,$C$10:$C$309)</f>
        <v>0</v>
      </c>
      <c r="Q46" s="68">
        <f>O46-P46</f>
        <v>10</v>
      </c>
      <c r="S46" s="60" t="str">
        <f>IF($G46="","",$G46&amp;"#"&amp;COUNTIF($G$10:$G46,$G46))</f>
        <v/>
      </c>
    </row>
    <row r="47" spans="2:19" ht="18.75" customHeight="1" x14ac:dyDescent="0.2">
      <c r="B47" s="61"/>
      <c r="C47" s="62"/>
      <c r="D47" s="62"/>
      <c r="E47" s="63"/>
      <c r="F47" s="63"/>
      <c r="G47" s="62"/>
      <c r="H47" s="64"/>
      <c r="I47" s="65" t="str">
        <f t="shared" si="0"/>
        <v/>
      </c>
      <c r="K47" s="69" t="s">
        <v>163</v>
      </c>
      <c r="L47" s="70" t="s">
        <v>185</v>
      </c>
      <c r="M47" s="70"/>
      <c r="N47" s="77"/>
      <c r="O47" s="69" t="s">
        <v>163</v>
      </c>
      <c r="P47" s="70" t="s">
        <v>185</v>
      </c>
      <c r="Q47" s="70"/>
      <c r="S47" s="60" t="str">
        <f>IF($G47="","",$G47&amp;"#"&amp;COUNTIF($G$10:$G47,$G47))</f>
        <v/>
      </c>
    </row>
    <row r="48" spans="2:19" ht="18.75" customHeight="1" x14ac:dyDescent="0.2">
      <c r="B48" s="54"/>
      <c r="C48" s="55"/>
      <c r="D48" s="55"/>
      <c r="E48" s="56"/>
      <c r="F48" s="56"/>
      <c r="G48" s="55"/>
      <c r="H48" s="57"/>
      <c r="I48" s="58" t="str">
        <f t="shared" si="0"/>
        <v/>
      </c>
      <c r="K48" s="63" t="str">
        <f>IFERROR(INDEX($B$10:$B$309,MATCH("5#1",$S$10:$S$309,0)),"")</f>
        <v/>
      </c>
      <c r="L48" s="62" t="str">
        <f>IF(K48="","",INDEX($C$10:$C$309,MATCH("5#1",$S$10:$S$309,0)))</f>
        <v/>
      </c>
      <c r="M48" s="71"/>
      <c r="N48" s="77"/>
      <c r="O48" s="63" t="str">
        <f>IFERROR(INDEX($B$10:$B$309,MATCH("6#1",$S$10:$S$309,0)),"")</f>
        <v/>
      </c>
      <c r="P48" s="62" t="str">
        <f>IF(O48="","",INDEX($C$10:$C$309,MATCH("6#1",$S$10:$S$309,0)))</f>
        <v/>
      </c>
      <c r="Q48" s="71"/>
      <c r="S48" s="60" t="str">
        <f>IF($G48="","",$G48&amp;"#"&amp;COUNTIF($G$10:$G48,$G48))</f>
        <v/>
      </c>
    </row>
    <row r="49" spans="2:19" ht="18.75" customHeight="1" x14ac:dyDescent="0.2">
      <c r="B49" s="61"/>
      <c r="C49" s="62"/>
      <c r="D49" s="62"/>
      <c r="E49" s="63"/>
      <c r="F49" s="63"/>
      <c r="G49" s="62"/>
      <c r="H49" s="64"/>
      <c r="I49" s="65" t="str">
        <f t="shared" si="0"/>
        <v/>
      </c>
      <c r="K49" s="72" t="str">
        <f>IFERROR(INDEX($B$10:$B$309,MATCH("5#2",$S$10:$S$309,0)),"")</f>
        <v/>
      </c>
      <c r="L49" s="73" t="str">
        <f>IF(K49="","",INDEX($C$10:$C$309,MATCH("5#2",$S$10:$S$309,0)))</f>
        <v/>
      </c>
      <c r="M49" s="74"/>
      <c r="N49" s="77"/>
      <c r="O49" s="72" t="str">
        <f>IFERROR(INDEX($B$10:$B$309,MATCH("6#2",$S$10:$S$309,0)),"")</f>
        <v/>
      </c>
      <c r="P49" s="73" t="str">
        <f>IF(O49="","",INDEX($C$10:$C$309,MATCH("6#2",$S$10:$S$309,0)))</f>
        <v/>
      </c>
      <c r="Q49" s="74"/>
      <c r="S49" s="60" t="str">
        <f>IF($G49="","",$G49&amp;"#"&amp;COUNTIF($G$10:$G49,$G49))</f>
        <v/>
      </c>
    </row>
    <row r="50" spans="2:19" ht="18.75" customHeight="1" x14ac:dyDescent="0.2">
      <c r="B50" s="54"/>
      <c r="C50" s="55"/>
      <c r="D50" s="55"/>
      <c r="E50" s="56"/>
      <c r="F50" s="56"/>
      <c r="G50" s="55"/>
      <c r="H50" s="57"/>
      <c r="I50" s="58" t="str">
        <f t="shared" si="0"/>
        <v/>
      </c>
      <c r="K50" s="63" t="str">
        <f>IFERROR(INDEX($B$10:$B$309,MATCH("5#3",$S$10:$S$309,0)),"")</f>
        <v/>
      </c>
      <c r="L50" s="62" t="str">
        <f>IF(K50="","",INDEX($C$10:$C$309,MATCH("5#3",$S$10:$S$309,0)))</f>
        <v/>
      </c>
      <c r="M50" s="71"/>
      <c r="N50" s="77"/>
      <c r="O50" s="63" t="str">
        <f>IFERROR(INDEX($B$10:$B$309,MATCH("6#3",$S$10:$S$309,0)),"")</f>
        <v/>
      </c>
      <c r="P50" s="62" t="str">
        <f>IF(O50="","",INDEX($C$10:$C$309,MATCH("6#3",$S$10:$S$309,0)))</f>
        <v/>
      </c>
      <c r="Q50" s="71"/>
      <c r="S50" s="60" t="str">
        <f>IF($G50="","",$G50&amp;"#"&amp;COUNTIF($G$10:$G50,$G50))</f>
        <v/>
      </c>
    </row>
    <row r="51" spans="2:19" ht="18.75" customHeight="1" x14ac:dyDescent="0.2">
      <c r="B51" s="61"/>
      <c r="C51" s="62"/>
      <c r="D51" s="62"/>
      <c r="E51" s="63"/>
      <c r="F51" s="63"/>
      <c r="G51" s="62"/>
      <c r="H51" s="64"/>
      <c r="I51" s="65" t="str">
        <f t="shared" si="0"/>
        <v/>
      </c>
      <c r="K51" s="72" t="str">
        <f>IFERROR(INDEX($B$10:$B$309,MATCH("5#4",$S$10:$S$309,0)),"")</f>
        <v/>
      </c>
      <c r="L51" s="73" t="str">
        <f>IF(K51="","",INDEX($C$10:$C$309,MATCH("5#4",$S$10:$S$309,0)))</f>
        <v/>
      </c>
      <c r="M51" s="74"/>
      <c r="N51" s="77"/>
      <c r="O51" s="72" t="str">
        <f>IFERROR(INDEX($B$10:$B$309,MATCH("6#4",$S$10:$S$309,0)),"")</f>
        <v/>
      </c>
      <c r="P51" s="73" t="str">
        <f>IF(O51="","",INDEX($C$10:$C$309,MATCH("6#4",$S$10:$S$309,0)))</f>
        <v/>
      </c>
      <c r="Q51" s="74"/>
      <c r="S51" s="60" t="str">
        <f>IF($G51="","",$G51&amp;"#"&amp;COUNTIF($G$10:$G51,$G51))</f>
        <v/>
      </c>
    </row>
    <row r="52" spans="2:19" ht="18.75" customHeight="1" x14ac:dyDescent="0.2">
      <c r="B52" s="54"/>
      <c r="C52" s="55"/>
      <c r="D52" s="55"/>
      <c r="E52" s="56"/>
      <c r="F52" s="56"/>
      <c r="G52" s="55"/>
      <c r="H52" s="57"/>
      <c r="I52" s="58" t="str">
        <f t="shared" si="0"/>
        <v/>
      </c>
      <c r="K52" s="63" t="str">
        <f>IFERROR(INDEX($B$10:$B$309,MATCH("5#5",$S$10:$S$309,0)),"")</f>
        <v/>
      </c>
      <c r="L52" s="62" t="str">
        <f>IF(K52="","",INDEX($C$10:$C$309,MATCH("5#5",$S$10:$S$309,0)))</f>
        <v/>
      </c>
      <c r="M52" s="71"/>
      <c r="N52" s="77"/>
      <c r="O52" s="63" t="str">
        <f>IFERROR(INDEX($B$10:$B$309,MATCH("6#5",$S$10:$S$309,0)),"")</f>
        <v/>
      </c>
      <c r="P52" s="62" t="str">
        <f>IF(O52="","",INDEX($C$10:$C$309,MATCH("6#5",$S$10:$S$309,0)))</f>
        <v/>
      </c>
      <c r="Q52" s="71"/>
      <c r="S52" s="60" t="str">
        <f>IF($G52="","",$G52&amp;"#"&amp;COUNTIF($G$10:$G52,$G52))</f>
        <v/>
      </c>
    </row>
    <row r="53" spans="2:19" ht="18.75" customHeight="1" x14ac:dyDescent="0.2">
      <c r="B53" s="61"/>
      <c r="C53" s="62"/>
      <c r="D53" s="62"/>
      <c r="E53" s="63"/>
      <c r="F53" s="63"/>
      <c r="G53" s="62"/>
      <c r="H53" s="64"/>
      <c r="I53" s="65" t="str">
        <f t="shared" si="0"/>
        <v/>
      </c>
      <c r="K53" s="72" t="str">
        <f>IFERROR(INDEX($B$10:$B$309,MATCH("5#6",$S$10:$S$309,0)),"")</f>
        <v/>
      </c>
      <c r="L53" s="73" t="str">
        <f>IF(K53="","",INDEX($C$10:$C$309,MATCH("5#6",$S$10:$S$309,0)))</f>
        <v/>
      </c>
      <c r="M53" s="74"/>
      <c r="N53" s="77"/>
      <c r="O53" s="72" t="str">
        <f>IFERROR(INDEX($B$10:$B$309,MATCH("6#6",$S$10:$S$309,0)),"")</f>
        <v/>
      </c>
      <c r="P53" s="73" t="str">
        <f>IF(O53="","",INDEX($C$10:$C$309,MATCH("6#6",$S$10:$S$309,0)))</f>
        <v/>
      </c>
      <c r="Q53" s="74"/>
      <c r="S53" s="60" t="str">
        <f>IF($G53="","",$G53&amp;"#"&amp;COUNTIF($G$10:$G53,$G53))</f>
        <v/>
      </c>
    </row>
    <row r="54" spans="2:19" ht="18.75" customHeight="1" x14ac:dyDescent="0.2">
      <c r="B54" s="54"/>
      <c r="C54" s="55"/>
      <c r="D54" s="55"/>
      <c r="E54" s="56"/>
      <c r="F54" s="56"/>
      <c r="G54" s="55"/>
      <c r="H54" s="57"/>
      <c r="I54" s="58" t="str">
        <f t="shared" si="0"/>
        <v/>
      </c>
      <c r="K54" s="63" t="str">
        <f>IFERROR(INDEX($B$10:$B$309,MATCH("5#7",$S$10:$S$309,0)),"")</f>
        <v/>
      </c>
      <c r="L54" s="62" t="str">
        <f>IF(K54="","",INDEX($C$10:$C$309,MATCH("5#7",$S$10:$S$309,0)))</f>
        <v/>
      </c>
      <c r="M54" s="71"/>
      <c r="N54" s="77"/>
      <c r="O54" s="63" t="str">
        <f>IFERROR(INDEX($B$10:$B$309,MATCH("6#7",$S$10:$S$309,0)),"")</f>
        <v/>
      </c>
      <c r="P54" s="62" t="str">
        <f>IF(O54="","",INDEX($C$10:$C$309,MATCH("6#7",$S$10:$S$309,0)))</f>
        <v/>
      </c>
      <c r="Q54" s="71"/>
      <c r="S54" s="60" t="str">
        <f>IF($G54="","",$G54&amp;"#"&amp;COUNTIF($G$10:$G54,$G54))</f>
        <v/>
      </c>
    </row>
    <row r="55" spans="2:19" ht="18.75" customHeight="1" x14ac:dyDescent="0.2">
      <c r="B55" s="61"/>
      <c r="C55" s="62"/>
      <c r="D55" s="62"/>
      <c r="E55" s="63"/>
      <c r="F55" s="63"/>
      <c r="G55" s="62"/>
      <c r="H55" s="64"/>
      <c r="I55" s="65" t="str">
        <f t="shared" si="0"/>
        <v/>
      </c>
      <c r="K55" s="72" t="str">
        <f>IFERROR(INDEX($B$10:$B$309,MATCH("5#8",$S$10:$S$309,0)),"")</f>
        <v/>
      </c>
      <c r="L55" s="73" t="str">
        <f>IF(K55="","",INDEX($C$10:$C$309,MATCH("5#8",$S$10:$S$309,0)))</f>
        <v/>
      </c>
      <c r="M55" s="74"/>
      <c r="N55" s="77"/>
      <c r="O55" s="72" t="str">
        <f>IFERROR(INDEX($B$10:$B$309,MATCH("6#8",$S$10:$S$309,0)),"")</f>
        <v/>
      </c>
      <c r="P55" s="73" t="str">
        <f>IF(O55="","",INDEX($C$10:$C$309,MATCH("6#8",$S$10:$S$309,0)))</f>
        <v/>
      </c>
      <c r="Q55" s="74"/>
      <c r="S55" s="60" t="str">
        <f>IF($G55="","",$G55&amp;"#"&amp;COUNTIF($G$10:$G55,$G55))</f>
        <v/>
      </c>
    </row>
    <row r="56" spans="2:19" ht="18.75" customHeight="1" x14ac:dyDescent="0.2">
      <c r="B56" s="54"/>
      <c r="C56" s="55"/>
      <c r="D56" s="55"/>
      <c r="E56" s="56"/>
      <c r="F56" s="56"/>
      <c r="G56" s="55"/>
      <c r="H56" s="57"/>
      <c r="I56" s="58" t="str">
        <f t="shared" si="0"/>
        <v/>
      </c>
      <c r="K56" s="63" t="str">
        <f>IFERROR(INDEX($B$10:$B$309,MATCH("5#9",$S$10:$S$309,0)),"")</f>
        <v/>
      </c>
      <c r="L56" s="62" t="str">
        <f>IF(K56="","",INDEX($C$10:$C$309,MATCH("5#9",$S$10:$S$309,0)))</f>
        <v/>
      </c>
      <c r="M56" s="71"/>
      <c r="N56" s="77"/>
      <c r="O56" s="63" t="str">
        <f>IFERROR(INDEX($B$10:$B$309,MATCH("6#9",$S$10:$S$309,0)),"")</f>
        <v/>
      </c>
      <c r="P56" s="62" t="str">
        <f>IF(O56="","",INDEX($C$10:$C$309,MATCH("6#9",$S$10:$S$309,0)))</f>
        <v/>
      </c>
      <c r="Q56" s="71"/>
      <c r="S56" s="60" t="str">
        <f>IF($G56="","",$G56&amp;"#"&amp;COUNTIF($G$10:$G56,$G56))</f>
        <v/>
      </c>
    </row>
    <row r="57" spans="2:19" ht="18.75" customHeight="1" x14ac:dyDescent="0.2">
      <c r="B57" s="61"/>
      <c r="C57" s="62"/>
      <c r="D57" s="62"/>
      <c r="E57" s="63"/>
      <c r="F57" s="63"/>
      <c r="G57" s="62"/>
      <c r="H57" s="64"/>
      <c r="I57" s="65" t="str">
        <f t="shared" si="0"/>
        <v/>
      </c>
      <c r="K57" s="72" t="str">
        <f>IFERROR(INDEX($B$10:$B$309,MATCH("5#10",$S$10:$S$309,0)),"")</f>
        <v/>
      </c>
      <c r="L57" s="73" t="str">
        <f>IF(K57="","",INDEX($C$10:$C$309,MATCH("5#10",$S$10:$S$309,0)))</f>
        <v/>
      </c>
      <c r="M57" s="74"/>
      <c r="N57" s="77"/>
      <c r="O57" s="72" t="str">
        <f>IFERROR(INDEX($B$10:$B$309,MATCH("6#10",$S$10:$S$309,0)),"")</f>
        <v/>
      </c>
      <c r="P57" s="73" t="str">
        <f>IF(O57="","",INDEX($C$10:$C$309,MATCH("6#10",$S$10:$S$309,0)))</f>
        <v/>
      </c>
      <c r="Q57" s="74"/>
      <c r="S57" s="60" t="str">
        <f>IF($G57="","",$G57&amp;"#"&amp;COUNTIF($G$10:$G57,$G57))</f>
        <v/>
      </c>
    </row>
    <row r="58" spans="2:19" ht="18.75" customHeight="1" x14ac:dyDescent="0.2">
      <c r="B58" s="54"/>
      <c r="C58" s="55"/>
      <c r="D58" s="55"/>
      <c r="E58" s="56"/>
      <c r="F58" s="56"/>
      <c r="G58" s="55"/>
      <c r="H58" s="57"/>
      <c r="I58" s="58" t="str">
        <f t="shared" si="0"/>
        <v/>
      </c>
      <c r="K58" s="63" t="str">
        <f>IFERROR(INDEX($B$10:$B$309,MATCH("5#11",$S$10:$S$309,0)),"")</f>
        <v/>
      </c>
      <c r="L58" s="62" t="str">
        <f>IF(K58="","",INDEX($C$10:$C$309,MATCH("5#11",$S$10:$S$309,0)))</f>
        <v/>
      </c>
      <c r="M58" s="71"/>
      <c r="N58" s="77"/>
      <c r="O58" s="63" t="str">
        <f>IFERROR(INDEX($B$10:$B$309,MATCH("6#11",$S$10:$S$309,0)),"")</f>
        <v/>
      </c>
      <c r="P58" s="62" t="str">
        <f>IF(O58="","",INDEX($C$10:$C$309,MATCH("6#11",$S$10:$S$309,0)))</f>
        <v/>
      </c>
      <c r="Q58" s="71"/>
      <c r="S58" s="60" t="str">
        <f>IF($G58="","",$G58&amp;"#"&amp;COUNTIF($G$10:$G58,$G58))</f>
        <v/>
      </c>
    </row>
    <row r="59" spans="2:19" ht="18.75" customHeight="1" x14ac:dyDescent="0.2">
      <c r="B59" s="61"/>
      <c r="C59" s="62"/>
      <c r="D59" s="62"/>
      <c r="E59" s="63"/>
      <c r="F59" s="63"/>
      <c r="G59" s="62"/>
      <c r="H59" s="64"/>
      <c r="I59" s="65" t="str">
        <f t="shared" si="0"/>
        <v/>
      </c>
      <c r="K59" s="72" t="str">
        <f>IFERROR(INDEX($B$10:$B$309,MATCH("5#12",$S$10:$S$309,0)),"")</f>
        <v/>
      </c>
      <c r="L59" s="73" t="str">
        <f>IF(K59="","",INDEX($C$10:$C$309,MATCH("5#12",$S$10:$S$309,0)))</f>
        <v/>
      </c>
      <c r="M59" s="74"/>
      <c r="N59" s="77"/>
      <c r="O59" s="72" t="str">
        <f>IFERROR(INDEX($B$10:$B$309,MATCH("6#12",$S$10:$S$309,0)),"")</f>
        <v/>
      </c>
      <c r="P59" s="73" t="str">
        <f>IF(O59="","",INDEX($C$10:$C$309,MATCH("6#12",$S$10:$S$309,0)))</f>
        <v/>
      </c>
      <c r="Q59" s="74"/>
      <c r="S59" s="60" t="str">
        <f>IF($G59="","",$G59&amp;"#"&amp;COUNTIF($G$10:$G59,$G59))</f>
        <v/>
      </c>
    </row>
    <row r="60" spans="2:19" ht="18.75" customHeight="1" x14ac:dyDescent="0.2">
      <c r="B60" s="54"/>
      <c r="C60" s="55"/>
      <c r="D60" s="55"/>
      <c r="E60" s="56"/>
      <c r="F60" s="56"/>
      <c r="G60" s="55"/>
      <c r="H60" s="57"/>
      <c r="I60" s="58" t="str">
        <f t="shared" si="0"/>
        <v/>
      </c>
      <c r="K60" s="75"/>
      <c r="L60" s="59"/>
      <c r="M60" s="59"/>
      <c r="N60" s="77"/>
      <c r="O60" s="75"/>
      <c r="P60" s="59"/>
      <c r="Q60" s="59"/>
      <c r="S60" s="60" t="str">
        <f>IF($G60="","",$G60&amp;"#"&amp;COUNTIF($G$10:$G60,$G60))</f>
        <v/>
      </c>
    </row>
    <row r="61" spans="2:19" ht="18.75" customHeight="1" x14ac:dyDescent="0.2">
      <c r="B61" s="61"/>
      <c r="C61" s="62"/>
      <c r="D61" s="62"/>
      <c r="E61" s="63"/>
      <c r="F61" s="63"/>
      <c r="G61" s="62"/>
      <c r="H61" s="64"/>
      <c r="I61" s="65" t="str">
        <f t="shared" si="0"/>
        <v/>
      </c>
      <c r="K61" s="133" t="s">
        <v>193</v>
      </c>
      <c r="L61" s="133"/>
      <c r="M61" s="133"/>
      <c r="N61" s="77"/>
      <c r="O61" s="133" t="s">
        <v>194</v>
      </c>
      <c r="P61" s="133"/>
      <c r="Q61" s="133"/>
      <c r="S61" s="60" t="str">
        <f>IF($G61="","",$G61&amp;"#"&amp;COUNTIF($G$10:$G61,$G61))</f>
        <v/>
      </c>
    </row>
    <row r="62" spans="2:19" ht="18.75" customHeight="1" x14ac:dyDescent="0.2">
      <c r="B62" s="54"/>
      <c r="C62" s="55"/>
      <c r="D62" s="55"/>
      <c r="E62" s="56"/>
      <c r="F62" s="56"/>
      <c r="G62" s="55"/>
      <c r="H62" s="57"/>
      <c r="I62" s="58" t="str">
        <f t="shared" si="0"/>
        <v/>
      </c>
      <c r="K62" s="66" t="s">
        <v>178</v>
      </c>
      <c r="L62" s="66" t="s">
        <v>160</v>
      </c>
      <c r="M62" s="66" t="s">
        <v>179</v>
      </c>
      <c r="N62" s="77"/>
      <c r="O62" s="66" t="s">
        <v>178</v>
      </c>
      <c r="P62" s="66" t="s">
        <v>160</v>
      </c>
      <c r="Q62" s="66" t="s">
        <v>179</v>
      </c>
      <c r="S62" s="60" t="str">
        <f>IF($G62="","",$G62&amp;"#"&amp;COUNTIF($G$10:$G62,$G62))</f>
        <v/>
      </c>
    </row>
    <row r="63" spans="2:19" ht="18.75" customHeight="1" x14ac:dyDescent="0.2">
      <c r="B63" s="61"/>
      <c r="C63" s="62"/>
      <c r="D63" s="62"/>
      <c r="E63" s="63"/>
      <c r="F63" s="63"/>
      <c r="G63" s="62"/>
      <c r="H63" s="64"/>
      <c r="I63" s="65" t="str">
        <f t="shared" si="0"/>
        <v/>
      </c>
      <c r="K63" s="67">
        <v>10</v>
      </c>
      <c r="L63" s="68">
        <f>SUMIF($G$10:$G$309,7,$C$10:$C$309)</f>
        <v>0</v>
      </c>
      <c r="M63" s="68">
        <f>K63-L63</f>
        <v>10</v>
      </c>
      <c r="N63" s="77"/>
      <c r="O63" s="67">
        <v>10</v>
      </c>
      <c r="P63" s="68">
        <f>SUMIF($G$10:$G$309,8,$C$10:$C$309)</f>
        <v>0</v>
      </c>
      <c r="Q63" s="68">
        <f>O63-P63</f>
        <v>10</v>
      </c>
      <c r="S63" s="60" t="str">
        <f>IF($G63="","",$G63&amp;"#"&amp;COUNTIF($G$10:$G63,$G63))</f>
        <v/>
      </c>
    </row>
    <row r="64" spans="2:19" ht="18.75" customHeight="1" x14ac:dyDescent="0.2">
      <c r="B64" s="54"/>
      <c r="C64" s="55"/>
      <c r="D64" s="55"/>
      <c r="E64" s="56"/>
      <c r="F64" s="56"/>
      <c r="G64" s="55"/>
      <c r="H64" s="57"/>
      <c r="I64" s="58" t="str">
        <f t="shared" si="0"/>
        <v/>
      </c>
      <c r="K64" s="69" t="s">
        <v>163</v>
      </c>
      <c r="L64" s="70" t="s">
        <v>185</v>
      </c>
      <c r="M64" s="70"/>
      <c r="N64" s="77"/>
      <c r="O64" s="69" t="s">
        <v>163</v>
      </c>
      <c r="P64" s="70" t="s">
        <v>185</v>
      </c>
      <c r="Q64" s="70"/>
      <c r="S64" s="60" t="str">
        <f>IF($G64="","",$G64&amp;"#"&amp;COUNTIF($G$10:$G64,$G64))</f>
        <v/>
      </c>
    </row>
    <row r="65" spans="2:19" ht="18.75" customHeight="1" x14ac:dyDescent="0.2">
      <c r="B65" s="61"/>
      <c r="C65" s="62"/>
      <c r="D65" s="62"/>
      <c r="E65" s="63"/>
      <c r="F65" s="63"/>
      <c r="G65" s="62"/>
      <c r="H65" s="64"/>
      <c r="I65" s="65" t="str">
        <f t="shared" si="0"/>
        <v/>
      </c>
      <c r="K65" s="63" t="str">
        <f>IFERROR(INDEX($B$10:$B$309,MATCH("7#1",$S$10:$S$309,0)),"")</f>
        <v/>
      </c>
      <c r="L65" s="62" t="str">
        <f>IF(K65="","",INDEX($C$10:$C$309,MATCH("7#1",$S$10:$S$309,0)))</f>
        <v/>
      </c>
      <c r="M65" s="71"/>
      <c r="N65" s="77"/>
      <c r="O65" s="63" t="str">
        <f>IFERROR(INDEX($B$10:$B$309,MATCH("8#1",$S$10:$S$309,0)),"")</f>
        <v/>
      </c>
      <c r="P65" s="62" t="str">
        <f>IF(O65="","",INDEX($C$10:$C$309,MATCH("8#1",$S$10:$S$309,0)))</f>
        <v/>
      </c>
      <c r="Q65" s="71"/>
      <c r="S65" s="60" t="str">
        <f>IF($G65="","",$G65&amp;"#"&amp;COUNTIF($G$10:$G65,$G65))</f>
        <v/>
      </c>
    </row>
    <row r="66" spans="2:19" ht="18.75" customHeight="1" x14ac:dyDescent="0.2">
      <c r="B66" s="54"/>
      <c r="C66" s="55"/>
      <c r="D66" s="55"/>
      <c r="E66" s="56"/>
      <c r="F66" s="56"/>
      <c r="G66" s="55"/>
      <c r="H66" s="57"/>
      <c r="I66" s="58" t="str">
        <f t="shared" si="0"/>
        <v/>
      </c>
      <c r="K66" s="72" t="str">
        <f>IFERROR(INDEX($B$10:$B$309,MATCH("7#2",$S$10:$S$309,0)),"")</f>
        <v/>
      </c>
      <c r="L66" s="73" t="str">
        <f>IF(K66="","",INDEX($C$10:$C$309,MATCH("7#2",$S$10:$S$309,0)))</f>
        <v/>
      </c>
      <c r="M66" s="74"/>
      <c r="N66" s="77"/>
      <c r="O66" s="72" t="str">
        <f>IFERROR(INDEX($B$10:$B$309,MATCH("8#2",$S$10:$S$309,0)),"")</f>
        <v/>
      </c>
      <c r="P66" s="73" t="str">
        <f>IF(O66="","",INDEX($C$10:$C$309,MATCH("8#2",$S$10:$S$309,0)))</f>
        <v/>
      </c>
      <c r="Q66" s="74"/>
      <c r="S66" s="60" t="str">
        <f>IF($G66="","",$G66&amp;"#"&amp;COUNTIF($G$10:$G66,$G66))</f>
        <v/>
      </c>
    </row>
    <row r="67" spans="2:19" ht="18.75" customHeight="1" x14ac:dyDescent="0.2">
      <c r="B67" s="61"/>
      <c r="C67" s="62"/>
      <c r="D67" s="62"/>
      <c r="E67" s="63"/>
      <c r="F67" s="63"/>
      <c r="G67" s="62"/>
      <c r="H67" s="64"/>
      <c r="I67" s="65" t="str">
        <f t="shared" si="0"/>
        <v/>
      </c>
      <c r="K67" s="63" t="str">
        <f>IFERROR(INDEX($B$10:$B$309,MATCH("7#3",$S$10:$S$309,0)),"")</f>
        <v/>
      </c>
      <c r="L67" s="62" t="str">
        <f>IF(K67="","",INDEX($C$10:$C$309,MATCH("7#3",$S$10:$S$309,0)))</f>
        <v/>
      </c>
      <c r="M67" s="71"/>
      <c r="N67" s="77"/>
      <c r="O67" s="63" t="str">
        <f>IFERROR(INDEX($B$10:$B$309,MATCH("8#3",$S$10:$S$309,0)),"")</f>
        <v/>
      </c>
      <c r="P67" s="62" t="str">
        <f>IF(O67="","",INDEX($C$10:$C$309,MATCH("8#3",$S$10:$S$309,0)))</f>
        <v/>
      </c>
      <c r="Q67" s="71"/>
      <c r="S67" s="60" t="str">
        <f>IF($G67="","",$G67&amp;"#"&amp;COUNTIF($G$10:$G67,$G67))</f>
        <v/>
      </c>
    </row>
    <row r="68" spans="2:19" ht="18.75" customHeight="1" x14ac:dyDescent="0.2">
      <c r="B68" s="54"/>
      <c r="C68" s="55"/>
      <c r="D68" s="55"/>
      <c r="E68" s="56"/>
      <c r="F68" s="56"/>
      <c r="G68" s="55"/>
      <c r="H68" s="57"/>
      <c r="I68" s="58" t="str">
        <f t="shared" si="0"/>
        <v/>
      </c>
      <c r="K68" s="72" t="str">
        <f>IFERROR(INDEX($B$10:$B$309,MATCH("7#4",$S$10:$S$309,0)),"")</f>
        <v/>
      </c>
      <c r="L68" s="73" t="str">
        <f>IF(K68="","",INDEX($C$10:$C$309,MATCH("7#4",$S$10:$S$309,0)))</f>
        <v/>
      </c>
      <c r="M68" s="74"/>
      <c r="N68" s="77"/>
      <c r="O68" s="72" t="str">
        <f>IFERROR(INDEX($B$10:$B$309,MATCH("8#4",$S$10:$S$309,0)),"")</f>
        <v/>
      </c>
      <c r="P68" s="73" t="str">
        <f>IF(O68="","",INDEX($C$10:$C$309,MATCH("8#4",$S$10:$S$309,0)))</f>
        <v/>
      </c>
      <c r="Q68" s="74"/>
      <c r="S68" s="60" t="str">
        <f>IF($G68="","",$G68&amp;"#"&amp;COUNTIF($G$10:$G68,$G68))</f>
        <v/>
      </c>
    </row>
    <row r="69" spans="2:19" ht="18.75" customHeight="1" x14ac:dyDescent="0.2">
      <c r="B69" s="61"/>
      <c r="C69" s="62"/>
      <c r="D69" s="62"/>
      <c r="E69" s="63"/>
      <c r="F69" s="63"/>
      <c r="G69" s="62"/>
      <c r="H69" s="64"/>
      <c r="I69" s="65" t="str">
        <f t="shared" si="0"/>
        <v/>
      </c>
      <c r="K69" s="63" t="str">
        <f>IFERROR(INDEX($B$10:$B$309,MATCH("7#5",$S$10:$S$309,0)),"")</f>
        <v/>
      </c>
      <c r="L69" s="62" t="str">
        <f>IF(K69="","",INDEX($C$10:$C$309,MATCH("7#5",$S$10:$S$309,0)))</f>
        <v/>
      </c>
      <c r="M69" s="71"/>
      <c r="N69" s="77"/>
      <c r="O69" s="63" t="str">
        <f>IFERROR(INDEX($B$10:$B$309,MATCH("8#5",$S$10:$S$309,0)),"")</f>
        <v/>
      </c>
      <c r="P69" s="62" t="str">
        <f>IF(O69="","",INDEX($C$10:$C$309,MATCH("8#5",$S$10:$S$309,0)))</f>
        <v/>
      </c>
      <c r="Q69" s="71"/>
      <c r="S69" s="60" t="str">
        <f>IF($G69="","",$G69&amp;"#"&amp;COUNTIF($G$10:$G69,$G69))</f>
        <v/>
      </c>
    </row>
    <row r="70" spans="2:19" ht="18.75" customHeight="1" x14ac:dyDescent="0.2">
      <c r="B70" s="54"/>
      <c r="C70" s="55"/>
      <c r="D70" s="55"/>
      <c r="E70" s="56"/>
      <c r="F70" s="56"/>
      <c r="G70" s="55"/>
      <c r="H70" s="57"/>
      <c r="I70" s="58" t="str">
        <f t="shared" si="0"/>
        <v/>
      </c>
      <c r="K70" s="72" t="str">
        <f>IFERROR(INDEX($B$10:$B$309,MATCH("7#6",$S$10:$S$309,0)),"")</f>
        <v/>
      </c>
      <c r="L70" s="73" t="str">
        <f>IF(K70="","",INDEX($C$10:$C$309,MATCH("7#6",$S$10:$S$309,0)))</f>
        <v/>
      </c>
      <c r="M70" s="74"/>
      <c r="N70" s="77"/>
      <c r="O70" s="72" t="str">
        <f>IFERROR(INDEX($B$10:$B$309,MATCH("8#6",$S$10:$S$309,0)),"")</f>
        <v/>
      </c>
      <c r="P70" s="73" t="str">
        <f>IF(O70="","",INDEX($C$10:$C$309,MATCH("8#6",$S$10:$S$309,0)))</f>
        <v/>
      </c>
      <c r="Q70" s="74"/>
      <c r="S70" s="60" t="str">
        <f>IF($G70="","",$G70&amp;"#"&amp;COUNTIF($G$10:$G70,$G70))</f>
        <v/>
      </c>
    </row>
    <row r="71" spans="2:19" ht="18.75" customHeight="1" x14ac:dyDescent="0.2">
      <c r="B71" s="61"/>
      <c r="C71" s="62"/>
      <c r="D71" s="62"/>
      <c r="E71" s="63"/>
      <c r="F71" s="63"/>
      <c r="G71" s="62"/>
      <c r="H71" s="64"/>
      <c r="I71" s="65" t="str">
        <f t="shared" si="0"/>
        <v/>
      </c>
      <c r="K71" s="63" t="str">
        <f>IFERROR(INDEX($B$10:$B$309,MATCH("7#7",$S$10:$S$309,0)),"")</f>
        <v/>
      </c>
      <c r="L71" s="62" t="str">
        <f>IF(K71="","",INDEX($C$10:$C$309,MATCH("7#7",$S$10:$S$309,0)))</f>
        <v/>
      </c>
      <c r="M71" s="71"/>
      <c r="N71" s="77"/>
      <c r="O71" s="63" t="str">
        <f>IFERROR(INDEX($B$10:$B$309,MATCH("8#7",$S$10:$S$309,0)),"")</f>
        <v/>
      </c>
      <c r="P71" s="62" t="str">
        <f>IF(O71="","",INDEX($C$10:$C$309,MATCH("8#7",$S$10:$S$309,0)))</f>
        <v/>
      </c>
      <c r="Q71" s="71"/>
      <c r="S71" s="60" t="str">
        <f>IF($G71="","",$G71&amp;"#"&amp;COUNTIF($G$10:$G71,$G71))</f>
        <v/>
      </c>
    </row>
    <row r="72" spans="2:19" ht="18.75" customHeight="1" x14ac:dyDescent="0.2">
      <c r="B72" s="54"/>
      <c r="C72" s="55"/>
      <c r="D72" s="55"/>
      <c r="E72" s="56"/>
      <c r="F72" s="56"/>
      <c r="G72" s="55"/>
      <c r="H72" s="57"/>
      <c r="I72" s="58" t="str">
        <f t="shared" si="0"/>
        <v/>
      </c>
      <c r="K72" s="72" t="str">
        <f>IFERROR(INDEX($B$10:$B$309,MATCH("7#8",$S$10:$S$309,0)),"")</f>
        <v/>
      </c>
      <c r="L72" s="73" t="str">
        <f>IF(K72="","",INDEX($C$10:$C$309,MATCH("7#8",$S$10:$S$309,0)))</f>
        <v/>
      </c>
      <c r="M72" s="74"/>
      <c r="N72" s="77"/>
      <c r="O72" s="72" t="str">
        <f>IFERROR(INDEX($B$10:$B$309,MATCH("8#8",$S$10:$S$309,0)),"")</f>
        <v/>
      </c>
      <c r="P72" s="73" t="str">
        <f>IF(O72="","",INDEX($C$10:$C$309,MATCH("8#8",$S$10:$S$309,0)))</f>
        <v/>
      </c>
      <c r="Q72" s="74"/>
      <c r="S72" s="60" t="str">
        <f>IF($G72="","",$G72&amp;"#"&amp;COUNTIF($G$10:$G72,$G72))</f>
        <v/>
      </c>
    </row>
    <row r="73" spans="2:19" ht="18.75" customHeight="1" x14ac:dyDescent="0.2">
      <c r="B73" s="61"/>
      <c r="C73" s="62"/>
      <c r="D73" s="62"/>
      <c r="E73" s="63"/>
      <c r="F73" s="63"/>
      <c r="G73" s="62"/>
      <c r="H73" s="64"/>
      <c r="I73" s="65" t="str">
        <f t="shared" si="0"/>
        <v/>
      </c>
      <c r="K73" s="63" t="str">
        <f>IFERROR(INDEX($B$10:$B$309,MATCH("7#9",$S$10:$S$309,0)),"")</f>
        <v/>
      </c>
      <c r="L73" s="62" t="str">
        <f>IF(K73="","",INDEX($C$10:$C$309,MATCH("7#9",$S$10:$S$309,0)))</f>
        <v/>
      </c>
      <c r="M73" s="71"/>
      <c r="N73" s="77"/>
      <c r="O73" s="63" t="str">
        <f>IFERROR(INDEX($B$10:$B$309,MATCH("8#9",$S$10:$S$309,0)),"")</f>
        <v/>
      </c>
      <c r="P73" s="62" t="str">
        <f>IF(O73="","",INDEX($C$10:$C$309,MATCH("8#9",$S$10:$S$309,0)))</f>
        <v/>
      </c>
      <c r="Q73" s="71"/>
      <c r="S73" s="60" t="str">
        <f>IF($G73="","",$G73&amp;"#"&amp;COUNTIF($G$10:$G73,$G73))</f>
        <v/>
      </c>
    </row>
    <row r="74" spans="2:19" ht="18.75" customHeight="1" x14ac:dyDescent="0.2">
      <c r="B74" s="54"/>
      <c r="C74" s="55"/>
      <c r="D74" s="55"/>
      <c r="E74" s="56"/>
      <c r="F74" s="56"/>
      <c r="G74" s="55"/>
      <c r="H74" s="57"/>
      <c r="I74" s="58" t="str">
        <f t="shared" ref="I74:I137" si="1">IF($B74="","",IF(AND($E74="Zugesagt",$G74=""),"Tisch wählen!",IF($G74&lt;&gt;"","✓","")))</f>
        <v/>
      </c>
      <c r="K74" s="72" t="str">
        <f>IFERROR(INDEX($B$10:$B$309,MATCH("7#10",$S$10:$S$309,0)),"")</f>
        <v/>
      </c>
      <c r="L74" s="73" t="str">
        <f>IF(K74="","",INDEX($C$10:$C$309,MATCH("7#10",$S$10:$S$309,0)))</f>
        <v/>
      </c>
      <c r="M74" s="74"/>
      <c r="N74" s="77"/>
      <c r="O74" s="72" t="str">
        <f>IFERROR(INDEX($B$10:$B$309,MATCH("8#10",$S$10:$S$309,0)),"")</f>
        <v/>
      </c>
      <c r="P74" s="73" t="str">
        <f>IF(O74="","",INDEX($C$10:$C$309,MATCH("8#10",$S$10:$S$309,0)))</f>
        <v/>
      </c>
      <c r="Q74" s="74"/>
      <c r="S74" s="60" t="str">
        <f>IF($G74="","",$G74&amp;"#"&amp;COUNTIF($G$10:$G74,$G74))</f>
        <v/>
      </c>
    </row>
    <row r="75" spans="2:19" ht="18.75" customHeight="1" x14ac:dyDescent="0.2">
      <c r="B75" s="61"/>
      <c r="C75" s="62"/>
      <c r="D75" s="62"/>
      <c r="E75" s="63"/>
      <c r="F75" s="63"/>
      <c r="G75" s="62"/>
      <c r="H75" s="64"/>
      <c r="I75" s="65" t="str">
        <f t="shared" si="1"/>
        <v/>
      </c>
      <c r="K75" s="63" t="str">
        <f>IFERROR(INDEX($B$10:$B$309,MATCH("7#11",$S$10:$S$309,0)),"")</f>
        <v/>
      </c>
      <c r="L75" s="62" t="str">
        <f>IF(K75="","",INDEX($C$10:$C$309,MATCH("7#11",$S$10:$S$309,0)))</f>
        <v/>
      </c>
      <c r="M75" s="71"/>
      <c r="N75" s="77"/>
      <c r="O75" s="63" t="str">
        <f>IFERROR(INDEX($B$10:$B$309,MATCH("8#11",$S$10:$S$309,0)),"")</f>
        <v/>
      </c>
      <c r="P75" s="62" t="str">
        <f>IF(O75="","",INDEX($C$10:$C$309,MATCH("8#11",$S$10:$S$309,0)))</f>
        <v/>
      </c>
      <c r="Q75" s="71"/>
      <c r="S75" s="60" t="str">
        <f>IF($G75="","",$G75&amp;"#"&amp;COUNTIF($G$10:$G75,$G75))</f>
        <v/>
      </c>
    </row>
    <row r="76" spans="2:19" ht="18.75" customHeight="1" x14ac:dyDescent="0.2">
      <c r="B76" s="54"/>
      <c r="C76" s="55"/>
      <c r="D76" s="55"/>
      <c r="E76" s="56"/>
      <c r="F76" s="56"/>
      <c r="G76" s="55"/>
      <c r="H76" s="57"/>
      <c r="I76" s="58" t="str">
        <f t="shared" si="1"/>
        <v/>
      </c>
      <c r="K76" s="72" t="str">
        <f>IFERROR(INDEX($B$10:$B$309,MATCH("7#12",$S$10:$S$309,0)),"")</f>
        <v/>
      </c>
      <c r="L76" s="73" t="str">
        <f>IF(K76="","",INDEX($C$10:$C$309,MATCH("7#12",$S$10:$S$309,0)))</f>
        <v/>
      </c>
      <c r="M76" s="74"/>
      <c r="N76" s="77"/>
      <c r="O76" s="72" t="str">
        <f>IFERROR(INDEX($B$10:$B$309,MATCH("8#12",$S$10:$S$309,0)),"")</f>
        <v/>
      </c>
      <c r="P76" s="73" t="str">
        <f>IF(O76="","",INDEX($C$10:$C$309,MATCH("8#12",$S$10:$S$309,0)))</f>
        <v/>
      </c>
      <c r="Q76" s="74"/>
      <c r="S76" s="60" t="str">
        <f>IF($G76="","",$G76&amp;"#"&amp;COUNTIF($G$10:$G76,$G76))</f>
        <v/>
      </c>
    </row>
    <row r="77" spans="2:19" ht="18.75" customHeight="1" x14ac:dyDescent="0.2">
      <c r="B77" s="61"/>
      <c r="C77" s="62"/>
      <c r="D77" s="62"/>
      <c r="E77" s="63"/>
      <c r="F77" s="63"/>
      <c r="G77" s="62"/>
      <c r="H77" s="64"/>
      <c r="I77" s="65" t="str">
        <f t="shared" si="1"/>
        <v/>
      </c>
      <c r="K77" s="75"/>
      <c r="L77" s="59"/>
      <c r="M77" s="59"/>
      <c r="N77" s="77"/>
      <c r="O77" s="75"/>
      <c r="P77" s="59"/>
      <c r="Q77" s="59"/>
      <c r="S77" s="60" t="str">
        <f>IF($G77="","",$G77&amp;"#"&amp;COUNTIF($G$10:$G77,$G77))</f>
        <v/>
      </c>
    </row>
    <row r="78" spans="2:19" ht="18.75" customHeight="1" x14ac:dyDescent="0.2">
      <c r="B78" s="54"/>
      <c r="C78" s="55"/>
      <c r="D78" s="55"/>
      <c r="E78" s="56"/>
      <c r="F78" s="56"/>
      <c r="G78" s="55"/>
      <c r="H78" s="57"/>
      <c r="I78" s="58" t="str">
        <f t="shared" si="1"/>
        <v/>
      </c>
      <c r="K78" s="133" t="s">
        <v>195</v>
      </c>
      <c r="L78" s="133"/>
      <c r="M78" s="133"/>
      <c r="N78" s="77"/>
      <c r="O78" s="133" t="s">
        <v>196</v>
      </c>
      <c r="P78" s="133"/>
      <c r="Q78" s="133"/>
      <c r="S78" s="60" t="str">
        <f>IF($G78="","",$G78&amp;"#"&amp;COUNTIF($G$10:$G78,$G78))</f>
        <v/>
      </c>
    </row>
    <row r="79" spans="2:19" ht="18.75" customHeight="1" x14ac:dyDescent="0.2">
      <c r="B79" s="61"/>
      <c r="C79" s="62"/>
      <c r="D79" s="62"/>
      <c r="E79" s="63"/>
      <c r="F79" s="63"/>
      <c r="G79" s="62"/>
      <c r="H79" s="64"/>
      <c r="I79" s="65" t="str">
        <f t="shared" si="1"/>
        <v/>
      </c>
      <c r="K79" s="66" t="s">
        <v>178</v>
      </c>
      <c r="L79" s="66" t="s">
        <v>160</v>
      </c>
      <c r="M79" s="66" t="s">
        <v>179</v>
      </c>
      <c r="N79" s="77"/>
      <c r="O79" s="66" t="s">
        <v>178</v>
      </c>
      <c r="P79" s="66" t="s">
        <v>160</v>
      </c>
      <c r="Q79" s="66" t="s">
        <v>179</v>
      </c>
      <c r="S79" s="60" t="str">
        <f>IF($G79="","",$G79&amp;"#"&amp;COUNTIF($G$10:$G79,$G79))</f>
        <v/>
      </c>
    </row>
    <row r="80" spans="2:19" ht="18.75" customHeight="1" x14ac:dyDescent="0.2">
      <c r="B80" s="54"/>
      <c r="C80" s="55"/>
      <c r="D80" s="55"/>
      <c r="E80" s="56"/>
      <c r="F80" s="56"/>
      <c r="G80" s="55"/>
      <c r="H80" s="57"/>
      <c r="I80" s="58" t="str">
        <f t="shared" si="1"/>
        <v/>
      </c>
      <c r="K80" s="67">
        <v>10</v>
      </c>
      <c r="L80" s="68">
        <f>SUMIF($G$10:$G$309,9,$C$10:$C$309)</f>
        <v>0</v>
      </c>
      <c r="M80" s="68">
        <f>K80-L80</f>
        <v>10</v>
      </c>
      <c r="N80" s="77"/>
      <c r="O80" s="67">
        <v>10</v>
      </c>
      <c r="P80" s="68">
        <f>SUMIF($G$10:$G$309,10,$C$10:$C$309)</f>
        <v>0</v>
      </c>
      <c r="Q80" s="68">
        <f>O80-P80</f>
        <v>10</v>
      </c>
      <c r="S80" s="60" t="str">
        <f>IF($G80="","",$G80&amp;"#"&amp;COUNTIF($G$10:$G80,$G80))</f>
        <v/>
      </c>
    </row>
    <row r="81" spans="2:19" ht="18.75" customHeight="1" x14ac:dyDescent="0.2">
      <c r="B81" s="61"/>
      <c r="C81" s="62"/>
      <c r="D81" s="62"/>
      <c r="E81" s="63"/>
      <c r="F81" s="63"/>
      <c r="G81" s="62"/>
      <c r="H81" s="64"/>
      <c r="I81" s="65" t="str">
        <f t="shared" si="1"/>
        <v/>
      </c>
      <c r="K81" s="69" t="s">
        <v>163</v>
      </c>
      <c r="L81" s="70" t="s">
        <v>185</v>
      </c>
      <c r="M81" s="70"/>
      <c r="N81" s="77"/>
      <c r="O81" s="69" t="s">
        <v>163</v>
      </c>
      <c r="P81" s="70" t="s">
        <v>185</v>
      </c>
      <c r="Q81" s="70"/>
      <c r="S81" s="60" t="str">
        <f>IF($G81="","",$G81&amp;"#"&amp;COUNTIF($G$10:$G81,$G81))</f>
        <v/>
      </c>
    </row>
    <row r="82" spans="2:19" ht="18.75" customHeight="1" x14ac:dyDescent="0.2">
      <c r="B82" s="54"/>
      <c r="C82" s="55"/>
      <c r="D82" s="55"/>
      <c r="E82" s="56"/>
      <c r="F82" s="56"/>
      <c r="G82" s="55"/>
      <c r="H82" s="57"/>
      <c r="I82" s="58" t="str">
        <f t="shared" si="1"/>
        <v/>
      </c>
      <c r="K82" s="63" t="str">
        <f>IFERROR(INDEX($B$10:$B$309,MATCH("9#1",$S$10:$S$309,0)),"")</f>
        <v/>
      </c>
      <c r="L82" s="62" t="str">
        <f>IF(K82="","",INDEX($C$10:$C$309,MATCH("9#1",$S$10:$S$309,0)))</f>
        <v/>
      </c>
      <c r="M82" s="71"/>
      <c r="N82" s="77"/>
      <c r="O82" s="63" t="str">
        <f>IFERROR(INDEX($B$10:$B$309,MATCH("10#1",$S$10:$S$309,0)),"")</f>
        <v/>
      </c>
      <c r="P82" s="62" t="str">
        <f>IF(O82="","",INDEX($C$10:$C$309,MATCH("10#1",$S$10:$S$309,0)))</f>
        <v/>
      </c>
      <c r="Q82" s="71"/>
      <c r="S82" s="60" t="str">
        <f>IF($G82="","",$G82&amp;"#"&amp;COUNTIF($G$10:$G82,$G82))</f>
        <v/>
      </c>
    </row>
    <row r="83" spans="2:19" ht="18.75" customHeight="1" x14ac:dyDescent="0.2">
      <c r="B83" s="61"/>
      <c r="C83" s="62"/>
      <c r="D83" s="62"/>
      <c r="E83" s="63"/>
      <c r="F83" s="63"/>
      <c r="G83" s="62"/>
      <c r="H83" s="64"/>
      <c r="I83" s="65" t="str">
        <f t="shared" si="1"/>
        <v/>
      </c>
      <c r="K83" s="72" t="str">
        <f>IFERROR(INDEX($B$10:$B$309,MATCH("9#2",$S$10:$S$309,0)),"")</f>
        <v/>
      </c>
      <c r="L83" s="73" t="str">
        <f>IF(K83="","",INDEX($C$10:$C$309,MATCH("9#2",$S$10:$S$309,0)))</f>
        <v/>
      </c>
      <c r="M83" s="74"/>
      <c r="N83" s="77"/>
      <c r="O83" s="72" t="str">
        <f>IFERROR(INDEX($B$10:$B$309,MATCH("10#2",$S$10:$S$309,0)),"")</f>
        <v/>
      </c>
      <c r="P83" s="73" t="str">
        <f>IF(O83="","",INDEX($C$10:$C$309,MATCH("10#2",$S$10:$S$309,0)))</f>
        <v/>
      </c>
      <c r="Q83" s="74"/>
      <c r="S83" s="60" t="str">
        <f>IF($G83="","",$G83&amp;"#"&amp;COUNTIF($G$10:$G83,$G83))</f>
        <v/>
      </c>
    </row>
    <row r="84" spans="2:19" ht="18.75" customHeight="1" x14ac:dyDescent="0.2">
      <c r="B84" s="54"/>
      <c r="C84" s="55"/>
      <c r="D84" s="55"/>
      <c r="E84" s="56"/>
      <c r="F84" s="56"/>
      <c r="G84" s="55"/>
      <c r="H84" s="57"/>
      <c r="I84" s="58" t="str">
        <f t="shared" si="1"/>
        <v/>
      </c>
      <c r="K84" s="63" t="str">
        <f>IFERROR(INDEX($B$10:$B$309,MATCH("9#3",$S$10:$S$309,0)),"")</f>
        <v/>
      </c>
      <c r="L84" s="62" t="str">
        <f>IF(K84="","",INDEX($C$10:$C$309,MATCH("9#3",$S$10:$S$309,0)))</f>
        <v/>
      </c>
      <c r="M84" s="71"/>
      <c r="N84" s="77"/>
      <c r="O84" s="63" t="str">
        <f>IFERROR(INDEX($B$10:$B$309,MATCH("10#3",$S$10:$S$309,0)),"")</f>
        <v/>
      </c>
      <c r="P84" s="62" t="str">
        <f>IF(O84="","",INDEX($C$10:$C$309,MATCH("10#3",$S$10:$S$309,0)))</f>
        <v/>
      </c>
      <c r="Q84" s="71"/>
      <c r="S84" s="60" t="str">
        <f>IF($G84="","",$G84&amp;"#"&amp;COUNTIF($G$10:$G84,$G84))</f>
        <v/>
      </c>
    </row>
    <row r="85" spans="2:19" ht="18.75" customHeight="1" x14ac:dyDescent="0.2">
      <c r="B85" s="61"/>
      <c r="C85" s="62"/>
      <c r="D85" s="62"/>
      <c r="E85" s="63"/>
      <c r="F85" s="63"/>
      <c r="G85" s="62"/>
      <c r="H85" s="64"/>
      <c r="I85" s="65" t="str">
        <f t="shared" si="1"/>
        <v/>
      </c>
      <c r="K85" s="72" t="str">
        <f>IFERROR(INDEX($B$10:$B$309,MATCH("9#4",$S$10:$S$309,0)),"")</f>
        <v/>
      </c>
      <c r="L85" s="73" t="str">
        <f>IF(K85="","",INDEX($C$10:$C$309,MATCH("9#4",$S$10:$S$309,0)))</f>
        <v/>
      </c>
      <c r="M85" s="74"/>
      <c r="N85" s="77"/>
      <c r="O85" s="72" t="str">
        <f>IFERROR(INDEX($B$10:$B$309,MATCH("10#4",$S$10:$S$309,0)),"")</f>
        <v/>
      </c>
      <c r="P85" s="73" t="str">
        <f>IF(O85="","",INDEX($C$10:$C$309,MATCH("10#4",$S$10:$S$309,0)))</f>
        <v/>
      </c>
      <c r="Q85" s="74"/>
      <c r="S85" s="60" t="str">
        <f>IF($G85="","",$G85&amp;"#"&amp;COUNTIF($G$10:$G85,$G85))</f>
        <v/>
      </c>
    </row>
    <row r="86" spans="2:19" ht="18.75" customHeight="1" x14ac:dyDescent="0.2">
      <c r="B86" s="54"/>
      <c r="C86" s="55"/>
      <c r="D86" s="55"/>
      <c r="E86" s="56"/>
      <c r="F86" s="56"/>
      <c r="G86" s="55"/>
      <c r="H86" s="57"/>
      <c r="I86" s="58" t="str">
        <f t="shared" si="1"/>
        <v/>
      </c>
      <c r="K86" s="63" t="str">
        <f>IFERROR(INDEX($B$10:$B$309,MATCH("9#5",$S$10:$S$309,0)),"")</f>
        <v/>
      </c>
      <c r="L86" s="62" t="str">
        <f>IF(K86="","",INDEX($C$10:$C$309,MATCH("9#5",$S$10:$S$309,0)))</f>
        <v/>
      </c>
      <c r="M86" s="71"/>
      <c r="N86" s="77"/>
      <c r="O86" s="63" t="str">
        <f>IFERROR(INDEX($B$10:$B$309,MATCH("10#5",$S$10:$S$309,0)),"")</f>
        <v/>
      </c>
      <c r="P86" s="62" t="str">
        <f>IF(O86="","",INDEX($C$10:$C$309,MATCH("10#5",$S$10:$S$309,0)))</f>
        <v/>
      </c>
      <c r="Q86" s="71"/>
      <c r="S86" s="60" t="str">
        <f>IF($G86="","",$G86&amp;"#"&amp;COUNTIF($G$10:$G86,$G86))</f>
        <v/>
      </c>
    </row>
    <row r="87" spans="2:19" ht="18.75" customHeight="1" x14ac:dyDescent="0.2">
      <c r="B87" s="61"/>
      <c r="C87" s="62"/>
      <c r="D87" s="62"/>
      <c r="E87" s="63"/>
      <c r="F87" s="63"/>
      <c r="G87" s="62"/>
      <c r="H87" s="64"/>
      <c r="I87" s="65" t="str">
        <f t="shared" si="1"/>
        <v/>
      </c>
      <c r="K87" s="72" t="str">
        <f>IFERROR(INDEX($B$10:$B$309,MATCH("9#6",$S$10:$S$309,0)),"")</f>
        <v/>
      </c>
      <c r="L87" s="73" t="str">
        <f>IF(K87="","",INDEX($C$10:$C$309,MATCH("9#6",$S$10:$S$309,0)))</f>
        <v/>
      </c>
      <c r="M87" s="74"/>
      <c r="N87" s="77"/>
      <c r="O87" s="72" t="str">
        <f>IFERROR(INDEX($B$10:$B$309,MATCH("10#6",$S$10:$S$309,0)),"")</f>
        <v/>
      </c>
      <c r="P87" s="73" t="str">
        <f>IF(O87="","",INDEX($C$10:$C$309,MATCH("10#6",$S$10:$S$309,0)))</f>
        <v/>
      </c>
      <c r="Q87" s="74"/>
      <c r="S87" s="60" t="str">
        <f>IF($G87="","",$G87&amp;"#"&amp;COUNTIF($G$10:$G87,$G87))</f>
        <v/>
      </c>
    </row>
    <row r="88" spans="2:19" ht="18.75" customHeight="1" x14ac:dyDescent="0.2">
      <c r="B88" s="54"/>
      <c r="C88" s="55"/>
      <c r="D88" s="55"/>
      <c r="E88" s="56"/>
      <c r="F88" s="56"/>
      <c r="G88" s="55"/>
      <c r="H88" s="57"/>
      <c r="I88" s="58" t="str">
        <f t="shared" si="1"/>
        <v/>
      </c>
      <c r="K88" s="63" t="str">
        <f>IFERROR(INDEX($B$10:$B$309,MATCH("9#7",$S$10:$S$309,0)),"")</f>
        <v/>
      </c>
      <c r="L88" s="62" t="str">
        <f>IF(K88="","",INDEX($C$10:$C$309,MATCH("9#7",$S$10:$S$309,0)))</f>
        <v/>
      </c>
      <c r="M88" s="71"/>
      <c r="N88" s="77"/>
      <c r="O88" s="63" t="str">
        <f>IFERROR(INDEX($B$10:$B$309,MATCH("10#7",$S$10:$S$309,0)),"")</f>
        <v/>
      </c>
      <c r="P88" s="62" t="str">
        <f>IF(O88="","",INDEX($C$10:$C$309,MATCH("10#7",$S$10:$S$309,0)))</f>
        <v/>
      </c>
      <c r="Q88" s="71"/>
      <c r="S88" s="60" t="str">
        <f>IF($G88="","",$G88&amp;"#"&amp;COUNTIF($G$10:$G88,$G88))</f>
        <v/>
      </c>
    </row>
    <row r="89" spans="2:19" ht="18.75" customHeight="1" x14ac:dyDescent="0.2">
      <c r="B89" s="61"/>
      <c r="C89" s="62"/>
      <c r="D89" s="62"/>
      <c r="E89" s="63"/>
      <c r="F89" s="63"/>
      <c r="G89" s="62"/>
      <c r="H89" s="64"/>
      <c r="I89" s="65" t="str">
        <f t="shared" si="1"/>
        <v/>
      </c>
      <c r="K89" s="72" t="str">
        <f>IFERROR(INDEX($B$10:$B$309,MATCH("9#8",$S$10:$S$309,0)),"")</f>
        <v/>
      </c>
      <c r="L89" s="73" t="str">
        <f>IF(K89="","",INDEX($C$10:$C$309,MATCH("9#8",$S$10:$S$309,0)))</f>
        <v/>
      </c>
      <c r="M89" s="74"/>
      <c r="N89" s="77"/>
      <c r="O89" s="72" t="str">
        <f>IFERROR(INDEX($B$10:$B$309,MATCH("10#8",$S$10:$S$309,0)),"")</f>
        <v/>
      </c>
      <c r="P89" s="73" t="str">
        <f>IF(O89="","",INDEX($C$10:$C$309,MATCH("10#8",$S$10:$S$309,0)))</f>
        <v/>
      </c>
      <c r="Q89" s="74"/>
      <c r="S89" s="60" t="str">
        <f>IF($G89="","",$G89&amp;"#"&amp;COUNTIF($G$10:$G89,$G89))</f>
        <v/>
      </c>
    </row>
    <row r="90" spans="2:19" ht="18.75" customHeight="1" x14ac:dyDescent="0.2">
      <c r="B90" s="54"/>
      <c r="C90" s="55"/>
      <c r="D90" s="55"/>
      <c r="E90" s="56"/>
      <c r="F90" s="56"/>
      <c r="G90" s="55"/>
      <c r="H90" s="57"/>
      <c r="I90" s="58" t="str">
        <f t="shared" si="1"/>
        <v/>
      </c>
      <c r="K90" s="63" t="str">
        <f>IFERROR(INDEX($B$10:$B$309,MATCH("9#9",$S$10:$S$309,0)),"")</f>
        <v/>
      </c>
      <c r="L90" s="62" t="str">
        <f>IF(K90="","",INDEX($C$10:$C$309,MATCH("9#9",$S$10:$S$309,0)))</f>
        <v/>
      </c>
      <c r="M90" s="71"/>
      <c r="N90" s="77"/>
      <c r="O90" s="63" t="str">
        <f>IFERROR(INDEX($B$10:$B$309,MATCH("10#9",$S$10:$S$309,0)),"")</f>
        <v/>
      </c>
      <c r="P90" s="62" t="str">
        <f>IF(O90="","",INDEX($C$10:$C$309,MATCH("10#9",$S$10:$S$309,0)))</f>
        <v/>
      </c>
      <c r="Q90" s="71"/>
      <c r="S90" s="60" t="str">
        <f>IF($G90="","",$G90&amp;"#"&amp;COUNTIF($G$10:$G90,$G90))</f>
        <v/>
      </c>
    </row>
    <row r="91" spans="2:19" ht="18.75" customHeight="1" x14ac:dyDescent="0.2">
      <c r="B91" s="61"/>
      <c r="C91" s="62"/>
      <c r="D91" s="62"/>
      <c r="E91" s="63"/>
      <c r="F91" s="63"/>
      <c r="G91" s="62"/>
      <c r="H91" s="64"/>
      <c r="I91" s="65" t="str">
        <f t="shared" si="1"/>
        <v/>
      </c>
      <c r="K91" s="72" t="str">
        <f>IFERROR(INDEX($B$10:$B$309,MATCH("9#10",$S$10:$S$309,0)),"")</f>
        <v/>
      </c>
      <c r="L91" s="73" t="str">
        <f>IF(K91="","",INDEX($C$10:$C$309,MATCH("9#10",$S$10:$S$309,0)))</f>
        <v/>
      </c>
      <c r="M91" s="74"/>
      <c r="N91" s="77"/>
      <c r="O91" s="72" t="str">
        <f>IFERROR(INDEX($B$10:$B$309,MATCH("10#10",$S$10:$S$309,0)),"")</f>
        <v/>
      </c>
      <c r="P91" s="73" t="str">
        <f>IF(O91="","",INDEX($C$10:$C$309,MATCH("10#10",$S$10:$S$309,0)))</f>
        <v/>
      </c>
      <c r="Q91" s="74"/>
      <c r="S91" s="60" t="str">
        <f>IF($G91="","",$G91&amp;"#"&amp;COUNTIF($G$10:$G91,$G91))</f>
        <v/>
      </c>
    </row>
    <row r="92" spans="2:19" ht="18.75" customHeight="1" x14ac:dyDescent="0.2">
      <c r="B92" s="54"/>
      <c r="C92" s="55"/>
      <c r="D92" s="55"/>
      <c r="E92" s="56"/>
      <c r="F92" s="56"/>
      <c r="G92" s="55"/>
      <c r="H92" s="57"/>
      <c r="I92" s="58" t="str">
        <f t="shared" si="1"/>
        <v/>
      </c>
      <c r="K92" s="63" t="str">
        <f>IFERROR(INDEX($B$10:$B$309,MATCH("9#11",$S$10:$S$309,0)),"")</f>
        <v/>
      </c>
      <c r="L92" s="62" t="str">
        <f>IF(K92="","",INDEX($C$10:$C$309,MATCH("9#11",$S$10:$S$309,0)))</f>
        <v/>
      </c>
      <c r="M92" s="71"/>
      <c r="N92" s="77"/>
      <c r="O92" s="63" t="str">
        <f>IFERROR(INDEX($B$10:$B$309,MATCH("10#11",$S$10:$S$309,0)),"")</f>
        <v/>
      </c>
      <c r="P92" s="62" t="str">
        <f>IF(O92="","",INDEX($C$10:$C$309,MATCH("10#11",$S$10:$S$309,0)))</f>
        <v/>
      </c>
      <c r="Q92" s="71"/>
      <c r="S92" s="60" t="str">
        <f>IF($G92="","",$G92&amp;"#"&amp;COUNTIF($G$10:$G92,$G92))</f>
        <v/>
      </c>
    </row>
    <row r="93" spans="2:19" ht="18.75" customHeight="1" x14ac:dyDescent="0.2">
      <c r="B93" s="61"/>
      <c r="C93" s="62"/>
      <c r="D93" s="62"/>
      <c r="E93" s="63"/>
      <c r="F93" s="63"/>
      <c r="G93" s="62"/>
      <c r="H93" s="64"/>
      <c r="I93" s="65" t="str">
        <f t="shared" si="1"/>
        <v/>
      </c>
      <c r="K93" s="72" t="str">
        <f>IFERROR(INDEX($B$10:$B$309,MATCH("9#12",$S$10:$S$309,0)),"")</f>
        <v/>
      </c>
      <c r="L93" s="73" t="str">
        <f>IF(K93="","",INDEX($C$10:$C$309,MATCH("9#12",$S$10:$S$309,0)))</f>
        <v/>
      </c>
      <c r="M93" s="74"/>
      <c r="N93" s="77"/>
      <c r="O93" s="72" t="str">
        <f>IFERROR(INDEX($B$10:$B$309,MATCH("10#12",$S$10:$S$309,0)),"")</f>
        <v/>
      </c>
      <c r="P93" s="73" t="str">
        <f>IF(O93="","",INDEX($C$10:$C$309,MATCH("10#12",$S$10:$S$309,0)))</f>
        <v/>
      </c>
      <c r="Q93" s="74"/>
      <c r="S93" s="60" t="str">
        <f>IF($G93="","",$G93&amp;"#"&amp;COUNTIF($G$10:$G93,$G93))</f>
        <v/>
      </c>
    </row>
    <row r="94" spans="2:19" ht="18.75" customHeight="1" x14ac:dyDescent="0.2">
      <c r="B94" s="54"/>
      <c r="C94" s="55"/>
      <c r="D94" s="55"/>
      <c r="E94" s="56"/>
      <c r="F94" s="56"/>
      <c r="G94" s="55"/>
      <c r="H94" s="57"/>
      <c r="I94" s="58" t="str">
        <f t="shared" si="1"/>
        <v/>
      </c>
      <c r="K94" s="75"/>
      <c r="L94" s="59"/>
      <c r="M94" s="59"/>
      <c r="N94" s="77"/>
      <c r="O94" s="75"/>
      <c r="P94" s="59"/>
      <c r="Q94" s="59"/>
      <c r="S94" s="60" t="str">
        <f>IF($G94="","",$G94&amp;"#"&amp;COUNTIF($G$10:$G94,$G94))</f>
        <v/>
      </c>
    </row>
    <row r="95" spans="2:19" ht="18.75" customHeight="1" x14ac:dyDescent="0.2">
      <c r="B95" s="61"/>
      <c r="C95" s="62"/>
      <c r="D95" s="62"/>
      <c r="E95" s="63"/>
      <c r="F95" s="63"/>
      <c r="G95" s="62"/>
      <c r="H95" s="64"/>
      <c r="I95" s="65" t="str">
        <f t="shared" si="1"/>
        <v/>
      </c>
      <c r="K95" s="133" t="s">
        <v>197</v>
      </c>
      <c r="L95" s="133"/>
      <c r="M95" s="133"/>
      <c r="N95" s="77"/>
      <c r="O95" s="133" t="s">
        <v>198</v>
      </c>
      <c r="P95" s="133"/>
      <c r="Q95" s="133"/>
      <c r="S95" s="60" t="str">
        <f>IF($G95="","",$G95&amp;"#"&amp;COUNTIF($G$10:$G95,$G95))</f>
        <v/>
      </c>
    </row>
    <row r="96" spans="2:19" ht="18.75" customHeight="1" x14ac:dyDescent="0.2">
      <c r="B96" s="54"/>
      <c r="C96" s="55"/>
      <c r="D96" s="55"/>
      <c r="E96" s="56"/>
      <c r="F96" s="56"/>
      <c r="G96" s="55"/>
      <c r="H96" s="57"/>
      <c r="I96" s="58" t="str">
        <f t="shared" si="1"/>
        <v/>
      </c>
      <c r="K96" s="66" t="s">
        <v>178</v>
      </c>
      <c r="L96" s="66" t="s">
        <v>160</v>
      </c>
      <c r="M96" s="66" t="s">
        <v>179</v>
      </c>
      <c r="N96" s="77"/>
      <c r="O96" s="66" t="s">
        <v>178</v>
      </c>
      <c r="P96" s="66" t="s">
        <v>160</v>
      </c>
      <c r="Q96" s="66" t="s">
        <v>179</v>
      </c>
      <c r="S96" s="60" t="str">
        <f>IF($G96="","",$G96&amp;"#"&amp;COUNTIF($G$10:$G96,$G96))</f>
        <v/>
      </c>
    </row>
    <row r="97" spans="2:19" ht="18.75" customHeight="1" x14ac:dyDescent="0.2">
      <c r="B97" s="61"/>
      <c r="C97" s="62"/>
      <c r="D97" s="62"/>
      <c r="E97" s="63"/>
      <c r="F97" s="63"/>
      <c r="G97" s="62"/>
      <c r="H97" s="64"/>
      <c r="I97" s="65" t="str">
        <f t="shared" si="1"/>
        <v/>
      </c>
      <c r="K97" s="67">
        <v>10</v>
      </c>
      <c r="L97" s="68">
        <f>SUMIF($G$10:$G$309,11,$C$10:$C$309)</f>
        <v>0</v>
      </c>
      <c r="M97" s="68">
        <f>K97-L97</f>
        <v>10</v>
      </c>
      <c r="N97" s="77"/>
      <c r="O97" s="67">
        <v>10</v>
      </c>
      <c r="P97" s="68">
        <f>SUMIF($G$10:$G$309,12,$C$10:$C$309)</f>
        <v>0</v>
      </c>
      <c r="Q97" s="68">
        <f>O97-P97</f>
        <v>10</v>
      </c>
      <c r="S97" s="60" t="str">
        <f>IF($G97="","",$G97&amp;"#"&amp;COUNTIF($G$10:$G97,$G97))</f>
        <v/>
      </c>
    </row>
    <row r="98" spans="2:19" ht="18.75" customHeight="1" x14ac:dyDescent="0.2">
      <c r="B98" s="54"/>
      <c r="C98" s="55"/>
      <c r="D98" s="55"/>
      <c r="E98" s="56"/>
      <c r="F98" s="56"/>
      <c r="G98" s="55"/>
      <c r="H98" s="57"/>
      <c r="I98" s="58" t="str">
        <f t="shared" si="1"/>
        <v/>
      </c>
      <c r="K98" s="69" t="s">
        <v>163</v>
      </c>
      <c r="L98" s="70" t="s">
        <v>185</v>
      </c>
      <c r="M98" s="70"/>
      <c r="N98" s="77"/>
      <c r="O98" s="69" t="s">
        <v>163</v>
      </c>
      <c r="P98" s="70" t="s">
        <v>185</v>
      </c>
      <c r="Q98" s="70"/>
      <c r="S98" s="60" t="str">
        <f>IF($G98="","",$G98&amp;"#"&amp;COUNTIF($G$10:$G98,$G98))</f>
        <v/>
      </c>
    </row>
    <row r="99" spans="2:19" ht="18.75" customHeight="1" x14ac:dyDescent="0.2">
      <c r="B99" s="61"/>
      <c r="C99" s="62"/>
      <c r="D99" s="62"/>
      <c r="E99" s="63"/>
      <c r="F99" s="63"/>
      <c r="G99" s="62"/>
      <c r="H99" s="64"/>
      <c r="I99" s="65" t="str">
        <f t="shared" si="1"/>
        <v/>
      </c>
      <c r="K99" s="63" t="str">
        <f>IFERROR(INDEX($B$10:$B$309,MATCH("11#1",$S$10:$S$309,0)),"")</f>
        <v/>
      </c>
      <c r="L99" s="62" t="str">
        <f>IF(K99="","",INDEX($C$10:$C$309,MATCH("11#1",$S$10:$S$309,0)))</f>
        <v/>
      </c>
      <c r="M99" s="71"/>
      <c r="N99" s="77"/>
      <c r="O99" s="63" t="str">
        <f>IFERROR(INDEX($B$10:$B$309,MATCH("12#1",$S$10:$S$309,0)),"")</f>
        <v/>
      </c>
      <c r="P99" s="62" t="str">
        <f>IF(O99="","",INDEX($C$10:$C$309,MATCH("12#1",$S$10:$S$309,0)))</f>
        <v/>
      </c>
      <c r="Q99" s="71"/>
      <c r="S99" s="60" t="str">
        <f>IF($G99="","",$G99&amp;"#"&amp;COUNTIF($G$10:$G99,$G99))</f>
        <v/>
      </c>
    </row>
    <row r="100" spans="2:19" ht="18.75" customHeight="1" x14ac:dyDescent="0.2">
      <c r="B100" s="54"/>
      <c r="C100" s="55"/>
      <c r="D100" s="55"/>
      <c r="E100" s="56"/>
      <c r="F100" s="56"/>
      <c r="G100" s="55"/>
      <c r="H100" s="57"/>
      <c r="I100" s="58" t="str">
        <f t="shared" si="1"/>
        <v/>
      </c>
      <c r="K100" s="72" t="str">
        <f>IFERROR(INDEX($B$10:$B$309,MATCH("11#2",$S$10:$S$309,0)),"")</f>
        <v/>
      </c>
      <c r="L100" s="73" t="str">
        <f>IF(K100="","",INDEX($C$10:$C$309,MATCH("11#2",$S$10:$S$309,0)))</f>
        <v/>
      </c>
      <c r="M100" s="74"/>
      <c r="N100" s="77"/>
      <c r="O100" s="72" t="str">
        <f>IFERROR(INDEX($B$10:$B$309,MATCH("12#2",$S$10:$S$309,0)),"")</f>
        <v/>
      </c>
      <c r="P100" s="73" t="str">
        <f>IF(O100="","",INDEX($C$10:$C$309,MATCH("12#2",$S$10:$S$309,0)))</f>
        <v/>
      </c>
      <c r="Q100" s="74"/>
      <c r="S100" s="60" t="str">
        <f>IF($G100="","",$G100&amp;"#"&amp;COUNTIF($G$10:$G100,$G100))</f>
        <v/>
      </c>
    </row>
    <row r="101" spans="2:19" ht="18.75" customHeight="1" x14ac:dyDescent="0.2">
      <c r="B101" s="61"/>
      <c r="C101" s="62"/>
      <c r="D101" s="62"/>
      <c r="E101" s="63"/>
      <c r="F101" s="63"/>
      <c r="G101" s="62"/>
      <c r="H101" s="64"/>
      <c r="I101" s="65" t="str">
        <f t="shared" si="1"/>
        <v/>
      </c>
      <c r="K101" s="63" t="str">
        <f>IFERROR(INDEX($B$10:$B$309,MATCH("11#3",$S$10:$S$309,0)),"")</f>
        <v/>
      </c>
      <c r="L101" s="62" t="str">
        <f>IF(K101="","",INDEX($C$10:$C$309,MATCH("11#3",$S$10:$S$309,0)))</f>
        <v/>
      </c>
      <c r="M101" s="71"/>
      <c r="N101" s="77"/>
      <c r="O101" s="63" t="str">
        <f>IFERROR(INDEX($B$10:$B$309,MATCH("12#3",$S$10:$S$309,0)),"")</f>
        <v/>
      </c>
      <c r="P101" s="62" t="str">
        <f>IF(O101="","",INDEX($C$10:$C$309,MATCH("12#3",$S$10:$S$309,0)))</f>
        <v/>
      </c>
      <c r="Q101" s="71"/>
      <c r="S101" s="60" t="str">
        <f>IF($G101="","",$G101&amp;"#"&amp;COUNTIF($G$10:$G101,$G101))</f>
        <v/>
      </c>
    </row>
    <row r="102" spans="2:19" ht="18.75" customHeight="1" x14ac:dyDescent="0.2">
      <c r="B102" s="54"/>
      <c r="C102" s="55"/>
      <c r="D102" s="55"/>
      <c r="E102" s="56"/>
      <c r="F102" s="56"/>
      <c r="G102" s="55"/>
      <c r="H102" s="57"/>
      <c r="I102" s="58" t="str">
        <f t="shared" si="1"/>
        <v/>
      </c>
      <c r="K102" s="72" t="str">
        <f>IFERROR(INDEX($B$10:$B$309,MATCH("11#4",$S$10:$S$309,0)),"")</f>
        <v/>
      </c>
      <c r="L102" s="73" t="str">
        <f>IF(K102="","",INDEX($C$10:$C$309,MATCH("11#4",$S$10:$S$309,0)))</f>
        <v/>
      </c>
      <c r="M102" s="74"/>
      <c r="N102" s="77"/>
      <c r="O102" s="72" t="str">
        <f>IFERROR(INDEX($B$10:$B$309,MATCH("12#4",$S$10:$S$309,0)),"")</f>
        <v/>
      </c>
      <c r="P102" s="73" t="str">
        <f>IF(O102="","",INDEX($C$10:$C$309,MATCH("12#4",$S$10:$S$309,0)))</f>
        <v/>
      </c>
      <c r="Q102" s="74"/>
      <c r="S102" s="60" t="str">
        <f>IF($G102="","",$G102&amp;"#"&amp;COUNTIF($G$10:$G102,$G102))</f>
        <v/>
      </c>
    </row>
    <row r="103" spans="2:19" ht="18.75" customHeight="1" x14ac:dyDescent="0.2">
      <c r="B103" s="61"/>
      <c r="C103" s="62"/>
      <c r="D103" s="62"/>
      <c r="E103" s="63"/>
      <c r="F103" s="63"/>
      <c r="G103" s="62"/>
      <c r="H103" s="64"/>
      <c r="I103" s="65" t="str">
        <f t="shared" si="1"/>
        <v/>
      </c>
      <c r="K103" s="63" t="str">
        <f>IFERROR(INDEX($B$10:$B$309,MATCH("11#5",$S$10:$S$309,0)),"")</f>
        <v/>
      </c>
      <c r="L103" s="62" t="str">
        <f>IF(K103="","",INDEX($C$10:$C$309,MATCH("11#5",$S$10:$S$309,0)))</f>
        <v/>
      </c>
      <c r="M103" s="71"/>
      <c r="N103" s="77"/>
      <c r="O103" s="63" t="str">
        <f>IFERROR(INDEX($B$10:$B$309,MATCH("12#5",$S$10:$S$309,0)),"")</f>
        <v/>
      </c>
      <c r="P103" s="62" t="str">
        <f>IF(O103="","",INDEX($C$10:$C$309,MATCH("12#5",$S$10:$S$309,0)))</f>
        <v/>
      </c>
      <c r="Q103" s="71"/>
      <c r="S103" s="60" t="str">
        <f>IF($G103="","",$G103&amp;"#"&amp;COUNTIF($G$10:$G103,$G103))</f>
        <v/>
      </c>
    </row>
    <row r="104" spans="2:19" ht="18.75" customHeight="1" x14ac:dyDescent="0.2">
      <c r="B104" s="54"/>
      <c r="C104" s="55"/>
      <c r="D104" s="55"/>
      <c r="E104" s="56"/>
      <c r="F104" s="56"/>
      <c r="G104" s="55"/>
      <c r="H104" s="57"/>
      <c r="I104" s="58" t="str">
        <f t="shared" si="1"/>
        <v/>
      </c>
      <c r="K104" s="72" t="str">
        <f>IFERROR(INDEX($B$10:$B$309,MATCH("11#6",$S$10:$S$309,0)),"")</f>
        <v/>
      </c>
      <c r="L104" s="73" t="str">
        <f>IF(K104="","",INDEX($C$10:$C$309,MATCH("11#6",$S$10:$S$309,0)))</f>
        <v/>
      </c>
      <c r="M104" s="74"/>
      <c r="N104" s="77"/>
      <c r="O104" s="72" t="str">
        <f>IFERROR(INDEX($B$10:$B$309,MATCH("12#6",$S$10:$S$309,0)),"")</f>
        <v/>
      </c>
      <c r="P104" s="73" t="str">
        <f>IF(O104="","",INDEX($C$10:$C$309,MATCH("12#6",$S$10:$S$309,0)))</f>
        <v/>
      </c>
      <c r="Q104" s="74"/>
      <c r="S104" s="60" t="str">
        <f>IF($G104="","",$G104&amp;"#"&amp;COUNTIF($G$10:$G104,$G104))</f>
        <v/>
      </c>
    </row>
    <row r="105" spans="2:19" ht="18.75" customHeight="1" x14ac:dyDescent="0.2">
      <c r="B105" s="61"/>
      <c r="C105" s="62"/>
      <c r="D105" s="62"/>
      <c r="E105" s="63"/>
      <c r="F105" s="63"/>
      <c r="G105" s="62"/>
      <c r="H105" s="64"/>
      <c r="I105" s="65" t="str">
        <f t="shared" si="1"/>
        <v/>
      </c>
      <c r="K105" s="63" t="str">
        <f>IFERROR(INDEX($B$10:$B$309,MATCH("11#7",$S$10:$S$309,0)),"")</f>
        <v/>
      </c>
      <c r="L105" s="62" t="str">
        <f>IF(K105="","",INDEX($C$10:$C$309,MATCH("11#7",$S$10:$S$309,0)))</f>
        <v/>
      </c>
      <c r="M105" s="71"/>
      <c r="N105" s="77"/>
      <c r="O105" s="63" t="str">
        <f>IFERROR(INDEX($B$10:$B$309,MATCH("12#7",$S$10:$S$309,0)),"")</f>
        <v/>
      </c>
      <c r="P105" s="62" t="str">
        <f>IF(O105="","",INDEX($C$10:$C$309,MATCH("12#7",$S$10:$S$309,0)))</f>
        <v/>
      </c>
      <c r="Q105" s="71"/>
      <c r="S105" s="60" t="str">
        <f>IF($G105="","",$G105&amp;"#"&amp;COUNTIF($G$10:$G105,$G105))</f>
        <v/>
      </c>
    </row>
    <row r="106" spans="2:19" ht="18.75" customHeight="1" x14ac:dyDescent="0.2">
      <c r="B106" s="54"/>
      <c r="C106" s="55"/>
      <c r="D106" s="55"/>
      <c r="E106" s="56"/>
      <c r="F106" s="56"/>
      <c r="G106" s="55"/>
      <c r="H106" s="57"/>
      <c r="I106" s="58" t="str">
        <f t="shared" si="1"/>
        <v/>
      </c>
      <c r="K106" s="72" t="str">
        <f>IFERROR(INDEX($B$10:$B$309,MATCH("11#8",$S$10:$S$309,0)),"")</f>
        <v/>
      </c>
      <c r="L106" s="73" t="str">
        <f>IF(K106="","",INDEX($C$10:$C$309,MATCH("11#8",$S$10:$S$309,0)))</f>
        <v/>
      </c>
      <c r="M106" s="74"/>
      <c r="N106" s="77"/>
      <c r="O106" s="72" t="str">
        <f>IFERROR(INDEX($B$10:$B$309,MATCH("12#8",$S$10:$S$309,0)),"")</f>
        <v/>
      </c>
      <c r="P106" s="73" t="str">
        <f>IF(O106="","",INDEX($C$10:$C$309,MATCH("12#8",$S$10:$S$309,0)))</f>
        <v/>
      </c>
      <c r="Q106" s="74"/>
      <c r="S106" s="60" t="str">
        <f>IF($G106="","",$G106&amp;"#"&amp;COUNTIF($G$10:$G106,$G106))</f>
        <v/>
      </c>
    </row>
    <row r="107" spans="2:19" ht="18.75" customHeight="1" x14ac:dyDescent="0.2">
      <c r="B107" s="61"/>
      <c r="C107" s="62"/>
      <c r="D107" s="62"/>
      <c r="E107" s="63"/>
      <c r="F107" s="63"/>
      <c r="G107" s="62"/>
      <c r="H107" s="64"/>
      <c r="I107" s="65" t="str">
        <f t="shared" si="1"/>
        <v/>
      </c>
      <c r="K107" s="63" t="str">
        <f>IFERROR(INDEX($B$10:$B$309,MATCH("11#9",$S$10:$S$309,0)),"")</f>
        <v/>
      </c>
      <c r="L107" s="62" t="str">
        <f>IF(K107="","",INDEX($C$10:$C$309,MATCH("11#9",$S$10:$S$309,0)))</f>
        <v/>
      </c>
      <c r="M107" s="71"/>
      <c r="N107" s="77"/>
      <c r="O107" s="63" t="str">
        <f>IFERROR(INDEX($B$10:$B$309,MATCH("12#9",$S$10:$S$309,0)),"")</f>
        <v/>
      </c>
      <c r="P107" s="62" t="str">
        <f>IF(O107="","",INDEX($C$10:$C$309,MATCH("12#9",$S$10:$S$309,0)))</f>
        <v/>
      </c>
      <c r="Q107" s="71"/>
      <c r="S107" s="60" t="str">
        <f>IF($G107="","",$G107&amp;"#"&amp;COUNTIF($G$10:$G107,$G107))</f>
        <v/>
      </c>
    </row>
    <row r="108" spans="2:19" ht="18.75" customHeight="1" x14ac:dyDescent="0.2">
      <c r="B108" s="54"/>
      <c r="C108" s="55"/>
      <c r="D108" s="55"/>
      <c r="E108" s="56"/>
      <c r="F108" s="56"/>
      <c r="G108" s="55"/>
      <c r="H108" s="57"/>
      <c r="I108" s="58" t="str">
        <f t="shared" si="1"/>
        <v/>
      </c>
      <c r="K108" s="72" t="str">
        <f>IFERROR(INDEX($B$10:$B$309,MATCH("11#10",$S$10:$S$309,0)),"")</f>
        <v/>
      </c>
      <c r="L108" s="73" t="str">
        <f>IF(K108="","",INDEX($C$10:$C$309,MATCH("11#10",$S$10:$S$309,0)))</f>
        <v/>
      </c>
      <c r="M108" s="74"/>
      <c r="N108" s="77"/>
      <c r="O108" s="72" t="str">
        <f>IFERROR(INDEX($B$10:$B$309,MATCH("12#10",$S$10:$S$309,0)),"")</f>
        <v/>
      </c>
      <c r="P108" s="73" t="str">
        <f>IF(O108="","",INDEX($C$10:$C$309,MATCH("12#10",$S$10:$S$309,0)))</f>
        <v/>
      </c>
      <c r="Q108" s="74"/>
      <c r="S108" s="60" t="str">
        <f>IF($G108="","",$G108&amp;"#"&amp;COUNTIF($G$10:$G108,$G108))</f>
        <v/>
      </c>
    </row>
    <row r="109" spans="2:19" ht="18.75" customHeight="1" x14ac:dyDescent="0.2">
      <c r="B109" s="61"/>
      <c r="C109" s="62"/>
      <c r="D109" s="62"/>
      <c r="E109" s="63"/>
      <c r="F109" s="63"/>
      <c r="G109" s="62"/>
      <c r="H109" s="64"/>
      <c r="I109" s="65" t="str">
        <f t="shared" si="1"/>
        <v/>
      </c>
      <c r="K109" s="63" t="str">
        <f>IFERROR(INDEX($B$10:$B$309,MATCH("11#11",$S$10:$S$309,0)),"")</f>
        <v/>
      </c>
      <c r="L109" s="62" t="str">
        <f>IF(K109="","",INDEX($C$10:$C$309,MATCH("11#11",$S$10:$S$309,0)))</f>
        <v/>
      </c>
      <c r="M109" s="71"/>
      <c r="N109" s="77"/>
      <c r="O109" s="63" t="str">
        <f>IFERROR(INDEX($B$10:$B$309,MATCH("12#11",$S$10:$S$309,0)),"")</f>
        <v/>
      </c>
      <c r="P109" s="62" t="str">
        <f>IF(O109="","",INDEX($C$10:$C$309,MATCH("12#11",$S$10:$S$309,0)))</f>
        <v/>
      </c>
      <c r="Q109" s="71"/>
      <c r="S109" s="60" t="str">
        <f>IF($G109="","",$G109&amp;"#"&amp;COUNTIF($G$10:$G109,$G109))</f>
        <v/>
      </c>
    </row>
    <row r="110" spans="2:19" ht="18.75" customHeight="1" x14ac:dyDescent="0.2">
      <c r="B110" s="54"/>
      <c r="C110" s="55"/>
      <c r="D110" s="55"/>
      <c r="E110" s="56"/>
      <c r="F110" s="56"/>
      <c r="G110" s="55"/>
      <c r="H110" s="57"/>
      <c r="I110" s="58" t="str">
        <f t="shared" si="1"/>
        <v/>
      </c>
      <c r="K110" s="72" t="str">
        <f>IFERROR(INDEX($B$10:$B$309,MATCH("11#12",$S$10:$S$309,0)),"")</f>
        <v/>
      </c>
      <c r="L110" s="73" t="str">
        <f>IF(K110="","",INDEX($C$10:$C$309,MATCH("11#12",$S$10:$S$309,0)))</f>
        <v/>
      </c>
      <c r="M110" s="74"/>
      <c r="N110" s="77"/>
      <c r="O110" s="72" t="str">
        <f>IFERROR(INDEX($B$10:$B$309,MATCH("12#12",$S$10:$S$309,0)),"")</f>
        <v/>
      </c>
      <c r="P110" s="73" t="str">
        <f>IF(O110="","",INDEX($C$10:$C$309,MATCH("12#12",$S$10:$S$309,0)))</f>
        <v/>
      </c>
      <c r="Q110" s="74"/>
      <c r="S110" s="60" t="str">
        <f>IF($G110="","",$G110&amp;"#"&amp;COUNTIF($G$10:$G110,$G110))</f>
        <v/>
      </c>
    </row>
    <row r="111" spans="2:19" ht="18.75" customHeight="1" x14ac:dyDescent="0.2">
      <c r="B111" s="61"/>
      <c r="C111" s="62"/>
      <c r="D111" s="62"/>
      <c r="E111" s="63"/>
      <c r="F111" s="63"/>
      <c r="G111" s="62"/>
      <c r="H111" s="64"/>
      <c r="I111" s="65" t="str">
        <f t="shared" si="1"/>
        <v/>
      </c>
      <c r="K111" s="75"/>
      <c r="L111" s="59"/>
      <c r="M111" s="59"/>
      <c r="N111" s="77"/>
      <c r="O111" s="75"/>
      <c r="P111" s="59"/>
      <c r="Q111" s="59"/>
      <c r="S111" s="60" t="str">
        <f>IF($G111="","",$G111&amp;"#"&amp;COUNTIF($G$10:$G111,$G111))</f>
        <v/>
      </c>
    </row>
    <row r="112" spans="2:19" ht="18.75" customHeight="1" x14ac:dyDescent="0.2">
      <c r="B112" s="54"/>
      <c r="C112" s="55"/>
      <c r="D112" s="55"/>
      <c r="E112" s="56"/>
      <c r="F112" s="56"/>
      <c r="G112" s="55"/>
      <c r="H112" s="57"/>
      <c r="I112" s="58" t="str">
        <f t="shared" si="1"/>
        <v/>
      </c>
      <c r="K112" s="133" t="s">
        <v>199</v>
      </c>
      <c r="L112" s="133"/>
      <c r="M112" s="133"/>
      <c r="N112" s="77"/>
      <c r="O112" s="133" t="s">
        <v>200</v>
      </c>
      <c r="P112" s="133"/>
      <c r="Q112" s="133"/>
      <c r="S112" s="60" t="str">
        <f>IF($G112="","",$G112&amp;"#"&amp;COUNTIF($G$10:$G112,$G112))</f>
        <v/>
      </c>
    </row>
    <row r="113" spans="2:19" ht="18.75" customHeight="1" x14ac:dyDescent="0.2">
      <c r="B113" s="61"/>
      <c r="C113" s="62"/>
      <c r="D113" s="62"/>
      <c r="E113" s="63"/>
      <c r="F113" s="63"/>
      <c r="G113" s="62"/>
      <c r="H113" s="64"/>
      <c r="I113" s="65" t="str">
        <f t="shared" si="1"/>
        <v/>
      </c>
      <c r="K113" s="66" t="s">
        <v>178</v>
      </c>
      <c r="L113" s="66" t="s">
        <v>160</v>
      </c>
      <c r="M113" s="66" t="s">
        <v>179</v>
      </c>
      <c r="N113" s="77"/>
      <c r="O113" s="66" t="s">
        <v>178</v>
      </c>
      <c r="P113" s="66" t="s">
        <v>160</v>
      </c>
      <c r="Q113" s="66" t="s">
        <v>179</v>
      </c>
      <c r="S113" s="60" t="str">
        <f>IF($G113="","",$G113&amp;"#"&amp;COUNTIF($G$10:$G113,$G113))</f>
        <v/>
      </c>
    </row>
    <row r="114" spans="2:19" ht="18.75" customHeight="1" x14ac:dyDescent="0.2">
      <c r="B114" s="54"/>
      <c r="C114" s="55"/>
      <c r="D114" s="55"/>
      <c r="E114" s="56"/>
      <c r="F114" s="56"/>
      <c r="G114" s="55"/>
      <c r="H114" s="57"/>
      <c r="I114" s="58" t="str">
        <f t="shared" si="1"/>
        <v/>
      </c>
      <c r="K114" s="67">
        <v>10</v>
      </c>
      <c r="L114" s="68">
        <f>SUMIF($G$10:$G$309,13,$C$10:$C$309)</f>
        <v>0</v>
      </c>
      <c r="M114" s="68">
        <f>K114-L114</f>
        <v>10</v>
      </c>
      <c r="N114" s="77"/>
      <c r="O114" s="67">
        <v>10</v>
      </c>
      <c r="P114" s="68">
        <f>SUMIF($G$10:$G$309,14,$C$10:$C$309)</f>
        <v>0</v>
      </c>
      <c r="Q114" s="68">
        <f>O114-P114</f>
        <v>10</v>
      </c>
      <c r="S114" s="60" t="str">
        <f>IF($G114="","",$G114&amp;"#"&amp;COUNTIF($G$10:$G114,$G114))</f>
        <v/>
      </c>
    </row>
    <row r="115" spans="2:19" ht="18.75" customHeight="1" x14ac:dyDescent="0.2">
      <c r="B115" s="61"/>
      <c r="C115" s="62"/>
      <c r="D115" s="62"/>
      <c r="E115" s="63"/>
      <c r="F115" s="63"/>
      <c r="G115" s="62"/>
      <c r="H115" s="64"/>
      <c r="I115" s="65" t="str">
        <f t="shared" si="1"/>
        <v/>
      </c>
      <c r="K115" s="69" t="s">
        <v>163</v>
      </c>
      <c r="L115" s="70" t="s">
        <v>185</v>
      </c>
      <c r="M115" s="70"/>
      <c r="N115" s="77"/>
      <c r="O115" s="69" t="s">
        <v>163</v>
      </c>
      <c r="P115" s="70" t="s">
        <v>185</v>
      </c>
      <c r="Q115" s="70"/>
      <c r="S115" s="60" t="str">
        <f>IF($G115="","",$G115&amp;"#"&amp;COUNTIF($G$10:$G115,$G115))</f>
        <v/>
      </c>
    </row>
    <row r="116" spans="2:19" ht="18.75" customHeight="1" x14ac:dyDescent="0.2">
      <c r="B116" s="54"/>
      <c r="C116" s="55"/>
      <c r="D116" s="55"/>
      <c r="E116" s="56"/>
      <c r="F116" s="56"/>
      <c r="G116" s="55"/>
      <c r="H116" s="57"/>
      <c r="I116" s="58" t="str">
        <f t="shared" si="1"/>
        <v/>
      </c>
      <c r="K116" s="63" t="str">
        <f>IFERROR(INDEX($B$10:$B$309,MATCH("13#1",$S$10:$S$309,0)),"")</f>
        <v/>
      </c>
      <c r="L116" s="62" t="str">
        <f>IF(K116="","",INDEX($C$10:$C$309,MATCH("13#1",$S$10:$S$309,0)))</f>
        <v/>
      </c>
      <c r="M116" s="71"/>
      <c r="N116" s="77"/>
      <c r="O116" s="63" t="str">
        <f>IFERROR(INDEX($B$10:$B$309,MATCH("14#1",$S$10:$S$309,0)),"")</f>
        <v/>
      </c>
      <c r="P116" s="62" t="str">
        <f>IF(O116="","",INDEX($C$10:$C$309,MATCH("14#1",$S$10:$S$309,0)))</f>
        <v/>
      </c>
      <c r="Q116" s="71"/>
      <c r="S116" s="60" t="str">
        <f>IF($G116="","",$G116&amp;"#"&amp;COUNTIF($G$10:$G116,$G116))</f>
        <v/>
      </c>
    </row>
    <row r="117" spans="2:19" ht="18.75" customHeight="1" x14ac:dyDescent="0.2">
      <c r="B117" s="61"/>
      <c r="C117" s="62"/>
      <c r="D117" s="62"/>
      <c r="E117" s="63"/>
      <c r="F117" s="63"/>
      <c r="G117" s="62"/>
      <c r="H117" s="64"/>
      <c r="I117" s="65" t="str">
        <f t="shared" si="1"/>
        <v/>
      </c>
      <c r="K117" s="72" t="str">
        <f>IFERROR(INDEX($B$10:$B$309,MATCH("13#2",$S$10:$S$309,0)),"")</f>
        <v/>
      </c>
      <c r="L117" s="73" t="str">
        <f>IF(K117="","",INDEX($C$10:$C$309,MATCH("13#2",$S$10:$S$309,0)))</f>
        <v/>
      </c>
      <c r="M117" s="74"/>
      <c r="N117" s="77"/>
      <c r="O117" s="72" t="str">
        <f>IFERROR(INDEX($B$10:$B$309,MATCH("14#2",$S$10:$S$309,0)),"")</f>
        <v/>
      </c>
      <c r="P117" s="73" t="str">
        <f>IF(O117="","",INDEX($C$10:$C$309,MATCH("14#2",$S$10:$S$309,0)))</f>
        <v/>
      </c>
      <c r="Q117" s="74"/>
      <c r="S117" s="60" t="str">
        <f>IF($G117="","",$G117&amp;"#"&amp;COUNTIF($G$10:$G117,$G117))</f>
        <v/>
      </c>
    </row>
    <row r="118" spans="2:19" ht="18.75" customHeight="1" x14ac:dyDescent="0.2">
      <c r="B118" s="54"/>
      <c r="C118" s="55"/>
      <c r="D118" s="55"/>
      <c r="E118" s="56"/>
      <c r="F118" s="56"/>
      <c r="G118" s="55"/>
      <c r="H118" s="57"/>
      <c r="I118" s="58" t="str">
        <f t="shared" si="1"/>
        <v/>
      </c>
      <c r="K118" s="63" t="str">
        <f>IFERROR(INDEX($B$10:$B$309,MATCH("13#3",$S$10:$S$309,0)),"")</f>
        <v/>
      </c>
      <c r="L118" s="62" t="str">
        <f>IF(K118="","",INDEX($C$10:$C$309,MATCH("13#3",$S$10:$S$309,0)))</f>
        <v/>
      </c>
      <c r="M118" s="71"/>
      <c r="N118" s="77"/>
      <c r="O118" s="63" t="str">
        <f>IFERROR(INDEX($B$10:$B$309,MATCH("14#3",$S$10:$S$309,0)),"")</f>
        <v/>
      </c>
      <c r="P118" s="62" t="str">
        <f>IF(O118="","",INDEX($C$10:$C$309,MATCH("14#3",$S$10:$S$309,0)))</f>
        <v/>
      </c>
      <c r="Q118" s="71"/>
      <c r="S118" s="60" t="str">
        <f>IF($G118="","",$G118&amp;"#"&amp;COUNTIF($G$10:$G118,$G118))</f>
        <v/>
      </c>
    </row>
    <row r="119" spans="2:19" ht="18.75" customHeight="1" x14ac:dyDescent="0.2">
      <c r="B119" s="61"/>
      <c r="C119" s="62"/>
      <c r="D119" s="62"/>
      <c r="E119" s="63"/>
      <c r="F119" s="63"/>
      <c r="G119" s="62"/>
      <c r="H119" s="64"/>
      <c r="I119" s="65" t="str">
        <f t="shared" si="1"/>
        <v/>
      </c>
      <c r="K119" s="72" t="str">
        <f>IFERROR(INDEX($B$10:$B$309,MATCH("13#4",$S$10:$S$309,0)),"")</f>
        <v/>
      </c>
      <c r="L119" s="73" t="str">
        <f>IF(K119="","",INDEX($C$10:$C$309,MATCH("13#4",$S$10:$S$309,0)))</f>
        <v/>
      </c>
      <c r="M119" s="74"/>
      <c r="N119" s="77"/>
      <c r="O119" s="72" t="str">
        <f>IFERROR(INDEX($B$10:$B$309,MATCH("14#4",$S$10:$S$309,0)),"")</f>
        <v/>
      </c>
      <c r="P119" s="73" t="str">
        <f>IF(O119="","",INDEX($C$10:$C$309,MATCH("14#4",$S$10:$S$309,0)))</f>
        <v/>
      </c>
      <c r="Q119" s="74"/>
      <c r="S119" s="60" t="str">
        <f>IF($G119="","",$G119&amp;"#"&amp;COUNTIF($G$10:$G119,$G119))</f>
        <v/>
      </c>
    </row>
    <row r="120" spans="2:19" ht="18.75" customHeight="1" x14ac:dyDescent="0.2">
      <c r="B120" s="54"/>
      <c r="C120" s="55"/>
      <c r="D120" s="55"/>
      <c r="E120" s="56"/>
      <c r="F120" s="56"/>
      <c r="G120" s="55"/>
      <c r="H120" s="57"/>
      <c r="I120" s="58" t="str">
        <f t="shared" si="1"/>
        <v/>
      </c>
      <c r="K120" s="63" t="str">
        <f>IFERROR(INDEX($B$10:$B$309,MATCH("13#5",$S$10:$S$309,0)),"")</f>
        <v/>
      </c>
      <c r="L120" s="62" t="str">
        <f>IF(K120="","",INDEX($C$10:$C$309,MATCH("13#5",$S$10:$S$309,0)))</f>
        <v/>
      </c>
      <c r="M120" s="71"/>
      <c r="N120" s="77"/>
      <c r="O120" s="63" t="str">
        <f>IFERROR(INDEX($B$10:$B$309,MATCH("14#5",$S$10:$S$309,0)),"")</f>
        <v/>
      </c>
      <c r="P120" s="62" t="str">
        <f>IF(O120="","",INDEX($C$10:$C$309,MATCH("14#5",$S$10:$S$309,0)))</f>
        <v/>
      </c>
      <c r="Q120" s="71"/>
      <c r="S120" s="60" t="str">
        <f>IF($G120="","",$G120&amp;"#"&amp;COUNTIF($G$10:$G120,$G120))</f>
        <v/>
      </c>
    </row>
    <row r="121" spans="2:19" ht="18.75" customHeight="1" x14ac:dyDescent="0.2">
      <c r="B121" s="61"/>
      <c r="C121" s="62"/>
      <c r="D121" s="62"/>
      <c r="E121" s="63"/>
      <c r="F121" s="63"/>
      <c r="G121" s="62"/>
      <c r="H121" s="64"/>
      <c r="I121" s="65" t="str">
        <f t="shared" si="1"/>
        <v/>
      </c>
      <c r="K121" s="72" t="str">
        <f>IFERROR(INDEX($B$10:$B$309,MATCH("13#6",$S$10:$S$309,0)),"")</f>
        <v/>
      </c>
      <c r="L121" s="73" t="str">
        <f>IF(K121="","",INDEX($C$10:$C$309,MATCH("13#6",$S$10:$S$309,0)))</f>
        <v/>
      </c>
      <c r="M121" s="74"/>
      <c r="N121" s="77"/>
      <c r="O121" s="72" t="str">
        <f>IFERROR(INDEX($B$10:$B$309,MATCH("14#6",$S$10:$S$309,0)),"")</f>
        <v/>
      </c>
      <c r="P121" s="73" t="str">
        <f>IF(O121="","",INDEX($C$10:$C$309,MATCH("14#6",$S$10:$S$309,0)))</f>
        <v/>
      </c>
      <c r="Q121" s="74"/>
      <c r="S121" s="60" t="str">
        <f>IF($G121="","",$G121&amp;"#"&amp;COUNTIF($G$10:$G121,$G121))</f>
        <v/>
      </c>
    </row>
    <row r="122" spans="2:19" ht="18.75" customHeight="1" x14ac:dyDescent="0.2">
      <c r="B122" s="54"/>
      <c r="C122" s="55"/>
      <c r="D122" s="55"/>
      <c r="E122" s="56"/>
      <c r="F122" s="56"/>
      <c r="G122" s="55"/>
      <c r="H122" s="57"/>
      <c r="I122" s="58" t="str">
        <f t="shared" si="1"/>
        <v/>
      </c>
      <c r="K122" s="63" t="str">
        <f>IFERROR(INDEX($B$10:$B$309,MATCH("13#7",$S$10:$S$309,0)),"")</f>
        <v/>
      </c>
      <c r="L122" s="62" t="str">
        <f>IF(K122="","",INDEX($C$10:$C$309,MATCH("13#7",$S$10:$S$309,0)))</f>
        <v/>
      </c>
      <c r="M122" s="71"/>
      <c r="N122" s="77"/>
      <c r="O122" s="63" t="str">
        <f>IFERROR(INDEX($B$10:$B$309,MATCH("14#7",$S$10:$S$309,0)),"")</f>
        <v/>
      </c>
      <c r="P122" s="62" t="str">
        <f>IF(O122="","",INDEX($C$10:$C$309,MATCH("14#7",$S$10:$S$309,0)))</f>
        <v/>
      </c>
      <c r="Q122" s="71"/>
      <c r="S122" s="60" t="str">
        <f>IF($G122="","",$G122&amp;"#"&amp;COUNTIF($G$10:$G122,$G122))</f>
        <v/>
      </c>
    </row>
    <row r="123" spans="2:19" ht="18.75" customHeight="1" x14ac:dyDescent="0.2">
      <c r="B123" s="61"/>
      <c r="C123" s="62"/>
      <c r="D123" s="62"/>
      <c r="E123" s="63"/>
      <c r="F123" s="63"/>
      <c r="G123" s="62"/>
      <c r="H123" s="64"/>
      <c r="I123" s="65" t="str">
        <f t="shared" si="1"/>
        <v/>
      </c>
      <c r="K123" s="72" t="str">
        <f>IFERROR(INDEX($B$10:$B$309,MATCH("13#8",$S$10:$S$309,0)),"")</f>
        <v/>
      </c>
      <c r="L123" s="73" t="str">
        <f>IF(K123="","",INDEX($C$10:$C$309,MATCH("13#8",$S$10:$S$309,0)))</f>
        <v/>
      </c>
      <c r="M123" s="74"/>
      <c r="N123" s="77"/>
      <c r="O123" s="72" t="str">
        <f>IFERROR(INDEX($B$10:$B$309,MATCH("14#8",$S$10:$S$309,0)),"")</f>
        <v/>
      </c>
      <c r="P123" s="73" t="str">
        <f>IF(O123="","",INDEX($C$10:$C$309,MATCH("14#8",$S$10:$S$309,0)))</f>
        <v/>
      </c>
      <c r="Q123" s="74"/>
      <c r="S123" s="60" t="str">
        <f>IF($G123="","",$G123&amp;"#"&amp;COUNTIF($G$10:$G123,$G123))</f>
        <v/>
      </c>
    </row>
    <row r="124" spans="2:19" ht="18.75" customHeight="1" x14ac:dyDescent="0.2">
      <c r="B124" s="54"/>
      <c r="C124" s="55"/>
      <c r="D124" s="55"/>
      <c r="E124" s="56"/>
      <c r="F124" s="56"/>
      <c r="G124" s="55"/>
      <c r="H124" s="57"/>
      <c r="I124" s="58" t="str">
        <f t="shared" si="1"/>
        <v/>
      </c>
      <c r="K124" s="63" t="str">
        <f>IFERROR(INDEX($B$10:$B$309,MATCH("13#9",$S$10:$S$309,0)),"")</f>
        <v/>
      </c>
      <c r="L124" s="62" t="str">
        <f>IF(K124="","",INDEX($C$10:$C$309,MATCH("13#9",$S$10:$S$309,0)))</f>
        <v/>
      </c>
      <c r="M124" s="71"/>
      <c r="N124" s="77"/>
      <c r="O124" s="63" t="str">
        <f>IFERROR(INDEX($B$10:$B$309,MATCH("14#9",$S$10:$S$309,0)),"")</f>
        <v/>
      </c>
      <c r="P124" s="62" t="str">
        <f>IF(O124="","",INDEX($C$10:$C$309,MATCH("14#9",$S$10:$S$309,0)))</f>
        <v/>
      </c>
      <c r="Q124" s="71"/>
      <c r="S124" s="60" t="str">
        <f>IF($G124="","",$G124&amp;"#"&amp;COUNTIF($G$10:$G124,$G124))</f>
        <v/>
      </c>
    </row>
    <row r="125" spans="2:19" ht="18.75" customHeight="1" x14ac:dyDescent="0.2">
      <c r="B125" s="61"/>
      <c r="C125" s="62"/>
      <c r="D125" s="62"/>
      <c r="E125" s="63"/>
      <c r="F125" s="63"/>
      <c r="G125" s="62"/>
      <c r="H125" s="64"/>
      <c r="I125" s="65" t="str">
        <f t="shared" si="1"/>
        <v/>
      </c>
      <c r="K125" s="72" t="str">
        <f>IFERROR(INDEX($B$10:$B$309,MATCH("13#10",$S$10:$S$309,0)),"")</f>
        <v/>
      </c>
      <c r="L125" s="73" t="str">
        <f>IF(K125="","",INDEX($C$10:$C$309,MATCH("13#10",$S$10:$S$309,0)))</f>
        <v/>
      </c>
      <c r="M125" s="74"/>
      <c r="N125" s="77"/>
      <c r="O125" s="72" t="str">
        <f>IFERROR(INDEX($B$10:$B$309,MATCH("14#10",$S$10:$S$309,0)),"")</f>
        <v/>
      </c>
      <c r="P125" s="73" t="str">
        <f>IF(O125="","",INDEX($C$10:$C$309,MATCH("14#10",$S$10:$S$309,0)))</f>
        <v/>
      </c>
      <c r="Q125" s="74"/>
      <c r="S125" s="60" t="str">
        <f>IF($G125="","",$G125&amp;"#"&amp;COUNTIF($G$10:$G125,$G125))</f>
        <v/>
      </c>
    </row>
    <row r="126" spans="2:19" ht="18.75" customHeight="1" x14ac:dyDescent="0.2">
      <c r="B126" s="54"/>
      <c r="C126" s="55"/>
      <c r="D126" s="55"/>
      <c r="E126" s="56"/>
      <c r="F126" s="56"/>
      <c r="G126" s="55"/>
      <c r="H126" s="57"/>
      <c r="I126" s="58" t="str">
        <f t="shared" si="1"/>
        <v/>
      </c>
      <c r="K126" s="63" t="str">
        <f>IFERROR(INDEX($B$10:$B$309,MATCH("13#11",$S$10:$S$309,0)),"")</f>
        <v/>
      </c>
      <c r="L126" s="62" t="str">
        <f>IF(K126="","",INDEX($C$10:$C$309,MATCH("13#11",$S$10:$S$309,0)))</f>
        <v/>
      </c>
      <c r="M126" s="71"/>
      <c r="N126" s="77"/>
      <c r="O126" s="63" t="str">
        <f>IFERROR(INDEX($B$10:$B$309,MATCH("14#11",$S$10:$S$309,0)),"")</f>
        <v/>
      </c>
      <c r="P126" s="62" t="str">
        <f>IF(O126="","",INDEX($C$10:$C$309,MATCH("14#11",$S$10:$S$309,0)))</f>
        <v/>
      </c>
      <c r="Q126" s="71"/>
      <c r="S126" s="60" t="str">
        <f>IF($G126="","",$G126&amp;"#"&amp;COUNTIF($G$10:$G126,$G126))</f>
        <v/>
      </c>
    </row>
    <row r="127" spans="2:19" ht="18.75" customHeight="1" x14ac:dyDescent="0.2">
      <c r="B127" s="61"/>
      <c r="C127" s="62"/>
      <c r="D127" s="62"/>
      <c r="E127" s="63"/>
      <c r="F127" s="63"/>
      <c r="G127" s="62"/>
      <c r="H127" s="64"/>
      <c r="I127" s="65" t="str">
        <f t="shared" si="1"/>
        <v/>
      </c>
      <c r="K127" s="72" t="str">
        <f>IFERROR(INDEX($B$10:$B$309,MATCH("13#12",$S$10:$S$309,0)),"")</f>
        <v/>
      </c>
      <c r="L127" s="73" t="str">
        <f>IF(K127="","",INDEX($C$10:$C$309,MATCH("13#12",$S$10:$S$309,0)))</f>
        <v/>
      </c>
      <c r="M127" s="74"/>
      <c r="N127" s="77"/>
      <c r="O127" s="72" t="str">
        <f>IFERROR(INDEX($B$10:$B$309,MATCH("14#12",$S$10:$S$309,0)),"")</f>
        <v/>
      </c>
      <c r="P127" s="73" t="str">
        <f>IF(O127="","",INDEX($C$10:$C$309,MATCH("14#12",$S$10:$S$309,0)))</f>
        <v/>
      </c>
      <c r="Q127" s="74"/>
      <c r="S127" s="60" t="str">
        <f>IF($G127="","",$G127&amp;"#"&amp;COUNTIF($G$10:$G127,$G127))</f>
        <v/>
      </c>
    </row>
    <row r="128" spans="2:19" ht="18.75" customHeight="1" x14ac:dyDescent="0.2">
      <c r="B128" s="54"/>
      <c r="C128" s="55"/>
      <c r="D128" s="55"/>
      <c r="E128" s="56"/>
      <c r="F128" s="56"/>
      <c r="G128" s="55"/>
      <c r="H128" s="57"/>
      <c r="I128" s="58" t="str">
        <f t="shared" si="1"/>
        <v/>
      </c>
      <c r="K128" s="75"/>
      <c r="L128" s="59"/>
      <c r="M128" s="59"/>
      <c r="N128" s="77"/>
      <c r="O128" s="75"/>
      <c r="P128" s="59"/>
      <c r="Q128" s="59"/>
      <c r="S128" s="60" t="str">
        <f>IF($G128="","",$G128&amp;"#"&amp;COUNTIF($G$10:$G128,$G128))</f>
        <v/>
      </c>
    </row>
    <row r="129" spans="2:19" ht="18.75" customHeight="1" x14ac:dyDescent="0.2">
      <c r="B129" s="61"/>
      <c r="C129" s="62"/>
      <c r="D129" s="62"/>
      <c r="E129" s="63"/>
      <c r="F129" s="63"/>
      <c r="G129" s="62"/>
      <c r="H129" s="64"/>
      <c r="I129" s="65" t="str">
        <f t="shared" si="1"/>
        <v/>
      </c>
      <c r="K129" s="133" t="s">
        <v>201</v>
      </c>
      <c r="L129" s="133"/>
      <c r="M129" s="133"/>
      <c r="N129" s="77"/>
      <c r="O129" s="133" t="s">
        <v>202</v>
      </c>
      <c r="P129" s="133"/>
      <c r="Q129" s="133"/>
      <c r="S129" s="60" t="str">
        <f>IF($G129="","",$G129&amp;"#"&amp;COUNTIF($G$10:$G129,$G129))</f>
        <v/>
      </c>
    </row>
    <row r="130" spans="2:19" ht="18.75" customHeight="1" x14ac:dyDescent="0.2">
      <c r="B130" s="54"/>
      <c r="C130" s="55"/>
      <c r="D130" s="55"/>
      <c r="E130" s="56"/>
      <c r="F130" s="56"/>
      <c r="G130" s="55"/>
      <c r="H130" s="57"/>
      <c r="I130" s="58" t="str">
        <f t="shared" si="1"/>
        <v/>
      </c>
      <c r="K130" s="66" t="s">
        <v>178</v>
      </c>
      <c r="L130" s="66" t="s">
        <v>160</v>
      </c>
      <c r="M130" s="66" t="s">
        <v>179</v>
      </c>
      <c r="N130" s="77"/>
      <c r="O130" s="66" t="s">
        <v>178</v>
      </c>
      <c r="P130" s="66" t="s">
        <v>160</v>
      </c>
      <c r="Q130" s="66" t="s">
        <v>179</v>
      </c>
      <c r="S130" s="60" t="str">
        <f>IF($G130="","",$G130&amp;"#"&amp;COUNTIF($G$10:$G130,$G130))</f>
        <v/>
      </c>
    </row>
    <row r="131" spans="2:19" ht="18.75" customHeight="1" x14ac:dyDescent="0.2">
      <c r="B131" s="61"/>
      <c r="C131" s="62"/>
      <c r="D131" s="62"/>
      <c r="E131" s="63"/>
      <c r="F131" s="63"/>
      <c r="G131" s="62"/>
      <c r="H131" s="64"/>
      <c r="I131" s="65" t="str">
        <f t="shared" si="1"/>
        <v/>
      </c>
      <c r="K131" s="67">
        <v>10</v>
      </c>
      <c r="L131" s="68">
        <f>SUMIF($G$10:$G$309,15,$C$10:$C$309)</f>
        <v>0</v>
      </c>
      <c r="M131" s="68">
        <f>K131-L131</f>
        <v>10</v>
      </c>
      <c r="N131" s="77"/>
      <c r="O131" s="67">
        <v>10</v>
      </c>
      <c r="P131" s="68">
        <f>SUMIF($G$10:$G$309,16,$C$10:$C$309)</f>
        <v>0</v>
      </c>
      <c r="Q131" s="68">
        <f>O131-P131</f>
        <v>10</v>
      </c>
      <c r="S131" s="60" t="str">
        <f>IF($G131="","",$G131&amp;"#"&amp;COUNTIF($G$10:$G131,$G131))</f>
        <v/>
      </c>
    </row>
    <row r="132" spans="2:19" ht="18.75" customHeight="1" x14ac:dyDescent="0.2">
      <c r="B132" s="54"/>
      <c r="C132" s="55"/>
      <c r="D132" s="55"/>
      <c r="E132" s="56"/>
      <c r="F132" s="56"/>
      <c r="G132" s="55"/>
      <c r="H132" s="57"/>
      <c r="I132" s="58" t="str">
        <f t="shared" si="1"/>
        <v/>
      </c>
      <c r="K132" s="69" t="s">
        <v>163</v>
      </c>
      <c r="L132" s="70" t="s">
        <v>185</v>
      </c>
      <c r="M132" s="70"/>
      <c r="N132" s="77"/>
      <c r="O132" s="69" t="s">
        <v>163</v>
      </c>
      <c r="P132" s="70" t="s">
        <v>185</v>
      </c>
      <c r="Q132" s="70"/>
      <c r="S132" s="60" t="str">
        <f>IF($G132="","",$G132&amp;"#"&amp;COUNTIF($G$10:$G132,$G132))</f>
        <v/>
      </c>
    </row>
    <row r="133" spans="2:19" ht="18.75" customHeight="1" x14ac:dyDescent="0.2">
      <c r="B133" s="61"/>
      <c r="C133" s="62"/>
      <c r="D133" s="62"/>
      <c r="E133" s="63"/>
      <c r="F133" s="63"/>
      <c r="G133" s="62"/>
      <c r="H133" s="64"/>
      <c r="I133" s="65" t="str">
        <f t="shared" si="1"/>
        <v/>
      </c>
      <c r="K133" s="63" t="str">
        <f>IFERROR(INDEX($B$10:$B$309,MATCH("15#1",$S$10:$S$309,0)),"")</f>
        <v/>
      </c>
      <c r="L133" s="62" t="str">
        <f>IF(K133="","",INDEX($C$10:$C$309,MATCH("15#1",$S$10:$S$309,0)))</f>
        <v/>
      </c>
      <c r="M133" s="71"/>
      <c r="N133" s="77"/>
      <c r="O133" s="63" t="str">
        <f>IFERROR(INDEX($B$10:$B$309,MATCH("16#1",$S$10:$S$309,0)),"")</f>
        <v/>
      </c>
      <c r="P133" s="62" t="str">
        <f>IF(O133="","",INDEX($C$10:$C$309,MATCH("16#1",$S$10:$S$309,0)))</f>
        <v/>
      </c>
      <c r="Q133" s="71"/>
      <c r="S133" s="60" t="str">
        <f>IF($G133="","",$G133&amp;"#"&amp;COUNTIF($G$10:$G133,$G133))</f>
        <v/>
      </c>
    </row>
    <row r="134" spans="2:19" ht="18.75" customHeight="1" x14ac:dyDescent="0.2">
      <c r="B134" s="54"/>
      <c r="C134" s="55"/>
      <c r="D134" s="55"/>
      <c r="E134" s="56"/>
      <c r="F134" s="56"/>
      <c r="G134" s="55"/>
      <c r="H134" s="57"/>
      <c r="I134" s="58" t="str">
        <f t="shared" si="1"/>
        <v/>
      </c>
      <c r="K134" s="72" t="str">
        <f>IFERROR(INDEX($B$10:$B$309,MATCH("15#2",$S$10:$S$309,0)),"")</f>
        <v/>
      </c>
      <c r="L134" s="73" t="str">
        <f>IF(K134="","",INDEX($C$10:$C$309,MATCH("15#2",$S$10:$S$309,0)))</f>
        <v/>
      </c>
      <c r="M134" s="74"/>
      <c r="N134" s="77"/>
      <c r="O134" s="72" t="str">
        <f>IFERROR(INDEX($B$10:$B$309,MATCH("16#2",$S$10:$S$309,0)),"")</f>
        <v/>
      </c>
      <c r="P134" s="73" t="str">
        <f>IF(O134="","",INDEX($C$10:$C$309,MATCH("16#2",$S$10:$S$309,0)))</f>
        <v/>
      </c>
      <c r="Q134" s="74"/>
      <c r="S134" s="60" t="str">
        <f>IF($G134="","",$G134&amp;"#"&amp;COUNTIF($G$10:$G134,$G134))</f>
        <v/>
      </c>
    </row>
    <row r="135" spans="2:19" ht="18.75" customHeight="1" x14ac:dyDescent="0.2">
      <c r="B135" s="61"/>
      <c r="C135" s="62"/>
      <c r="D135" s="62"/>
      <c r="E135" s="63"/>
      <c r="F135" s="63"/>
      <c r="G135" s="62"/>
      <c r="H135" s="64"/>
      <c r="I135" s="65" t="str">
        <f t="shared" si="1"/>
        <v/>
      </c>
      <c r="K135" s="63" t="str">
        <f>IFERROR(INDEX($B$10:$B$309,MATCH("15#3",$S$10:$S$309,0)),"")</f>
        <v/>
      </c>
      <c r="L135" s="62" t="str">
        <f>IF(K135="","",INDEX($C$10:$C$309,MATCH("15#3",$S$10:$S$309,0)))</f>
        <v/>
      </c>
      <c r="M135" s="71"/>
      <c r="N135" s="77"/>
      <c r="O135" s="63" t="str">
        <f>IFERROR(INDEX($B$10:$B$309,MATCH("16#3",$S$10:$S$309,0)),"")</f>
        <v/>
      </c>
      <c r="P135" s="62" t="str">
        <f>IF(O135="","",INDEX($C$10:$C$309,MATCH("16#3",$S$10:$S$309,0)))</f>
        <v/>
      </c>
      <c r="Q135" s="71"/>
      <c r="S135" s="60" t="str">
        <f>IF($G135="","",$G135&amp;"#"&amp;COUNTIF($G$10:$G135,$G135))</f>
        <v/>
      </c>
    </row>
    <row r="136" spans="2:19" ht="18.75" customHeight="1" x14ac:dyDescent="0.2">
      <c r="B136" s="54"/>
      <c r="C136" s="55"/>
      <c r="D136" s="55"/>
      <c r="E136" s="56"/>
      <c r="F136" s="56"/>
      <c r="G136" s="55"/>
      <c r="H136" s="57"/>
      <c r="I136" s="58" t="str">
        <f t="shared" si="1"/>
        <v/>
      </c>
      <c r="K136" s="72" t="str">
        <f>IFERROR(INDEX($B$10:$B$309,MATCH("15#4",$S$10:$S$309,0)),"")</f>
        <v/>
      </c>
      <c r="L136" s="73" t="str">
        <f>IF(K136="","",INDEX($C$10:$C$309,MATCH("15#4",$S$10:$S$309,0)))</f>
        <v/>
      </c>
      <c r="M136" s="74"/>
      <c r="N136" s="77"/>
      <c r="O136" s="72" t="str">
        <f>IFERROR(INDEX($B$10:$B$309,MATCH("16#4",$S$10:$S$309,0)),"")</f>
        <v/>
      </c>
      <c r="P136" s="73" t="str">
        <f>IF(O136="","",INDEX($C$10:$C$309,MATCH("16#4",$S$10:$S$309,0)))</f>
        <v/>
      </c>
      <c r="Q136" s="74"/>
      <c r="S136" s="60" t="str">
        <f>IF($G136="","",$G136&amp;"#"&amp;COUNTIF($G$10:$G136,$G136))</f>
        <v/>
      </c>
    </row>
    <row r="137" spans="2:19" ht="18.75" customHeight="1" x14ac:dyDescent="0.2">
      <c r="B137" s="61"/>
      <c r="C137" s="62"/>
      <c r="D137" s="62"/>
      <c r="E137" s="63"/>
      <c r="F137" s="63"/>
      <c r="G137" s="62"/>
      <c r="H137" s="64"/>
      <c r="I137" s="65" t="str">
        <f t="shared" si="1"/>
        <v/>
      </c>
      <c r="K137" s="63" t="str">
        <f>IFERROR(INDEX($B$10:$B$309,MATCH("15#5",$S$10:$S$309,0)),"")</f>
        <v/>
      </c>
      <c r="L137" s="62" t="str">
        <f>IF(K137="","",INDEX($C$10:$C$309,MATCH("15#5",$S$10:$S$309,0)))</f>
        <v/>
      </c>
      <c r="M137" s="71"/>
      <c r="N137" s="77"/>
      <c r="O137" s="63" t="str">
        <f>IFERROR(INDEX($B$10:$B$309,MATCH("16#5",$S$10:$S$309,0)),"")</f>
        <v/>
      </c>
      <c r="P137" s="62" t="str">
        <f>IF(O137="","",INDEX($C$10:$C$309,MATCH("16#5",$S$10:$S$309,0)))</f>
        <v/>
      </c>
      <c r="Q137" s="71"/>
      <c r="S137" s="60" t="str">
        <f>IF($G137="","",$G137&amp;"#"&amp;COUNTIF($G$10:$G137,$G137))</f>
        <v/>
      </c>
    </row>
    <row r="138" spans="2:19" ht="18.75" customHeight="1" x14ac:dyDescent="0.2">
      <c r="B138" s="54"/>
      <c r="C138" s="55"/>
      <c r="D138" s="55"/>
      <c r="E138" s="56"/>
      <c r="F138" s="56"/>
      <c r="G138" s="55"/>
      <c r="H138" s="57"/>
      <c r="I138" s="58" t="str">
        <f t="shared" ref="I138:I201" si="2">IF($B138="","",IF(AND($E138="Zugesagt",$G138=""),"Tisch wählen!",IF($G138&lt;&gt;"","✓","")))</f>
        <v/>
      </c>
      <c r="K138" s="72" t="str">
        <f>IFERROR(INDEX($B$10:$B$309,MATCH("15#6",$S$10:$S$309,0)),"")</f>
        <v/>
      </c>
      <c r="L138" s="73" t="str">
        <f>IF(K138="","",INDEX($C$10:$C$309,MATCH("15#6",$S$10:$S$309,0)))</f>
        <v/>
      </c>
      <c r="M138" s="74"/>
      <c r="N138" s="77"/>
      <c r="O138" s="72" t="str">
        <f>IFERROR(INDEX($B$10:$B$309,MATCH("16#6",$S$10:$S$309,0)),"")</f>
        <v/>
      </c>
      <c r="P138" s="73" t="str">
        <f>IF(O138="","",INDEX($C$10:$C$309,MATCH("16#6",$S$10:$S$309,0)))</f>
        <v/>
      </c>
      <c r="Q138" s="74"/>
      <c r="S138" s="60" t="str">
        <f>IF($G138="","",$G138&amp;"#"&amp;COUNTIF($G$10:$G138,$G138))</f>
        <v/>
      </c>
    </row>
    <row r="139" spans="2:19" ht="18.75" customHeight="1" x14ac:dyDescent="0.2">
      <c r="B139" s="61"/>
      <c r="C139" s="62"/>
      <c r="D139" s="62"/>
      <c r="E139" s="63"/>
      <c r="F139" s="63"/>
      <c r="G139" s="62"/>
      <c r="H139" s="64"/>
      <c r="I139" s="65" t="str">
        <f t="shared" si="2"/>
        <v/>
      </c>
      <c r="K139" s="63" t="str">
        <f>IFERROR(INDEX($B$10:$B$309,MATCH("15#7",$S$10:$S$309,0)),"")</f>
        <v/>
      </c>
      <c r="L139" s="62" t="str">
        <f>IF(K139="","",INDEX($C$10:$C$309,MATCH("15#7",$S$10:$S$309,0)))</f>
        <v/>
      </c>
      <c r="M139" s="71"/>
      <c r="N139" s="77"/>
      <c r="O139" s="63" t="str">
        <f>IFERROR(INDEX($B$10:$B$309,MATCH("16#7",$S$10:$S$309,0)),"")</f>
        <v/>
      </c>
      <c r="P139" s="62" t="str">
        <f>IF(O139="","",INDEX($C$10:$C$309,MATCH("16#7",$S$10:$S$309,0)))</f>
        <v/>
      </c>
      <c r="Q139" s="71"/>
      <c r="S139" s="60" t="str">
        <f>IF($G139="","",$G139&amp;"#"&amp;COUNTIF($G$10:$G139,$G139))</f>
        <v/>
      </c>
    </row>
    <row r="140" spans="2:19" ht="18.75" customHeight="1" x14ac:dyDescent="0.2">
      <c r="B140" s="54"/>
      <c r="C140" s="55"/>
      <c r="D140" s="55"/>
      <c r="E140" s="56"/>
      <c r="F140" s="56"/>
      <c r="G140" s="55"/>
      <c r="H140" s="57"/>
      <c r="I140" s="58" t="str">
        <f t="shared" si="2"/>
        <v/>
      </c>
      <c r="K140" s="72" t="str">
        <f>IFERROR(INDEX($B$10:$B$309,MATCH("15#8",$S$10:$S$309,0)),"")</f>
        <v/>
      </c>
      <c r="L140" s="73" t="str">
        <f>IF(K140="","",INDEX($C$10:$C$309,MATCH("15#8",$S$10:$S$309,0)))</f>
        <v/>
      </c>
      <c r="M140" s="74"/>
      <c r="N140" s="77"/>
      <c r="O140" s="72" t="str">
        <f>IFERROR(INDEX($B$10:$B$309,MATCH("16#8",$S$10:$S$309,0)),"")</f>
        <v/>
      </c>
      <c r="P140" s="73" t="str">
        <f>IF(O140="","",INDEX($C$10:$C$309,MATCH("16#8",$S$10:$S$309,0)))</f>
        <v/>
      </c>
      <c r="Q140" s="74"/>
      <c r="S140" s="60" t="str">
        <f>IF($G140="","",$G140&amp;"#"&amp;COUNTIF($G$10:$G140,$G140))</f>
        <v/>
      </c>
    </row>
    <row r="141" spans="2:19" ht="18.75" customHeight="1" x14ac:dyDescent="0.2">
      <c r="B141" s="61"/>
      <c r="C141" s="62"/>
      <c r="D141" s="62"/>
      <c r="E141" s="63"/>
      <c r="F141" s="63"/>
      <c r="G141" s="62"/>
      <c r="H141" s="64"/>
      <c r="I141" s="65" t="str">
        <f t="shared" si="2"/>
        <v/>
      </c>
      <c r="K141" s="63" t="str">
        <f>IFERROR(INDEX($B$10:$B$309,MATCH("15#9",$S$10:$S$309,0)),"")</f>
        <v/>
      </c>
      <c r="L141" s="62" t="str">
        <f>IF(K141="","",INDEX($C$10:$C$309,MATCH("15#9",$S$10:$S$309,0)))</f>
        <v/>
      </c>
      <c r="M141" s="71"/>
      <c r="N141" s="77"/>
      <c r="O141" s="63" t="str">
        <f>IFERROR(INDEX($B$10:$B$309,MATCH("16#9",$S$10:$S$309,0)),"")</f>
        <v/>
      </c>
      <c r="P141" s="62" t="str">
        <f>IF(O141="","",INDEX($C$10:$C$309,MATCH("16#9",$S$10:$S$309,0)))</f>
        <v/>
      </c>
      <c r="Q141" s="71"/>
      <c r="S141" s="60" t="str">
        <f>IF($G141="","",$G141&amp;"#"&amp;COUNTIF($G$10:$G141,$G141))</f>
        <v/>
      </c>
    </row>
    <row r="142" spans="2:19" ht="18.75" customHeight="1" x14ac:dyDescent="0.2">
      <c r="B142" s="54"/>
      <c r="C142" s="55"/>
      <c r="D142" s="55"/>
      <c r="E142" s="56"/>
      <c r="F142" s="56"/>
      <c r="G142" s="55"/>
      <c r="H142" s="57"/>
      <c r="I142" s="58" t="str">
        <f t="shared" si="2"/>
        <v/>
      </c>
      <c r="K142" s="72" t="str">
        <f>IFERROR(INDEX($B$10:$B$309,MATCH("15#10",$S$10:$S$309,0)),"")</f>
        <v/>
      </c>
      <c r="L142" s="73" t="str">
        <f>IF(K142="","",INDEX($C$10:$C$309,MATCH("15#10",$S$10:$S$309,0)))</f>
        <v/>
      </c>
      <c r="M142" s="74"/>
      <c r="N142" s="77"/>
      <c r="O142" s="72" t="str">
        <f>IFERROR(INDEX($B$10:$B$309,MATCH("16#10",$S$10:$S$309,0)),"")</f>
        <v/>
      </c>
      <c r="P142" s="73" t="str">
        <f>IF(O142="","",INDEX($C$10:$C$309,MATCH("16#10",$S$10:$S$309,0)))</f>
        <v/>
      </c>
      <c r="Q142" s="74"/>
      <c r="S142" s="60" t="str">
        <f>IF($G142="","",$G142&amp;"#"&amp;COUNTIF($G$10:$G142,$G142))</f>
        <v/>
      </c>
    </row>
    <row r="143" spans="2:19" ht="18.75" customHeight="1" x14ac:dyDescent="0.2">
      <c r="B143" s="61"/>
      <c r="C143" s="62"/>
      <c r="D143" s="62"/>
      <c r="E143" s="63"/>
      <c r="F143" s="63"/>
      <c r="G143" s="62"/>
      <c r="H143" s="64"/>
      <c r="I143" s="65" t="str">
        <f t="shared" si="2"/>
        <v/>
      </c>
      <c r="K143" s="63" t="str">
        <f>IFERROR(INDEX($B$10:$B$309,MATCH("15#11",$S$10:$S$309,0)),"")</f>
        <v/>
      </c>
      <c r="L143" s="62" t="str">
        <f>IF(K143="","",INDEX($C$10:$C$309,MATCH("15#11",$S$10:$S$309,0)))</f>
        <v/>
      </c>
      <c r="M143" s="71"/>
      <c r="N143" s="77"/>
      <c r="O143" s="63" t="str">
        <f>IFERROR(INDEX($B$10:$B$309,MATCH("16#11",$S$10:$S$309,0)),"")</f>
        <v/>
      </c>
      <c r="P143" s="62" t="str">
        <f>IF(O143="","",INDEX($C$10:$C$309,MATCH("16#11",$S$10:$S$309,0)))</f>
        <v/>
      </c>
      <c r="Q143" s="71"/>
      <c r="S143" s="60" t="str">
        <f>IF($G143="","",$G143&amp;"#"&amp;COUNTIF($G$10:$G143,$G143))</f>
        <v/>
      </c>
    </row>
    <row r="144" spans="2:19" ht="18.75" customHeight="1" x14ac:dyDescent="0.2">
      <c r="B144" s="54"/>
      <c r="C144" s="55"/>
      <c r="D144" s="55"/>
      <c r="E144" s="56"/>
      <c r="F144" s="56"/>
      <c r="G144" s="55"/>
      <c r="H144" s="57"/>
      <c r="I144" s="58" t="str">
        <f t="shared" si="2"/>
        <v/>
      </c>
      <c r="K144" s="72" t="str">
        <f>IFERROR(INDEX($B$10:$B$309,MATCH("15#12",$S$10:$S$309,0)),"")</f>
        <v/>
      </c>
      <c r="L144" s="73" t="str">
        <f>IF(K144="","",INDEX($C$10:$C$309,MATCH("15#12",$S$10:$S$309,0)))</f>
        <v/>
      </c>
      <c r="M144" s="74"/>
      <c r="N144" s="77"/>
      <c r="O144" s="72" t="str">
        <f>IFERROR(INDEX($B$10:$B$309,MATCH("16#12",$S$10:$S$309,0)),"")</f>
        <v/>
      </c>
      <c r="P144" s="73" t="str">
        <f>IF(O144="","",INDEX($C$10:$C$309,MATCH("16#12",$S$10:$S$309,0)))</f>
        <v/>
      </c>
      <c r="Q144" s="74"/>
      <c r="S144" s="60" t="str">
        <f>IF($G144="","",$G144&amp;"#"&amp;COUNTIF($G$10:$G144,$G144))</f>
        <v/>
      </c>
    </row>
    <row r="145" spans="2:19" ht="18.75" customHeight="1" x14ac:dyDescent="0.2">
      <c r="B145" s="61"/>
      <c r="C145" s="62"/>
      <c r="D145" s="62"/>
      <c r="E145" s="63"/>
      <c r="F145" s="63"/>
      <c r="G145" s="62"/>
      <c r="H145" s="64"/>
      <c r="I145" s="65" t="str">
        <f t="shared" si="2"/>
        <v/>
      </c>
      <c r="K145" s="75"/>
      <c r="L145" s="59"/>
      <c r="M145" s="59"/>
      <c r="N145" s="77"/>
      <c r="O145" s="75"/>
      <c r="P145" s="59"/>
      <c r="Q145" s="59"/>
      <c r="S145" s="60" t="str">
        <f>IF($G145="","",$G145&amp;"#"&amp;COUNTIF($G$10:$G145,$G145))</f>
        <v/>
      </c>
    </row>
    <row r="146" spans="2:19" ht="18.75" customHeight="1" x14ac:dyDescent="0.2">
      <c r="B146" s="54"/>
      <c r="C146" s="55"/>
      <c r="D146" s="55"/>
      <c r="E146" s="56"/>
      <c r="F146" s="56"/>
      <c r="G146" s="55"/>
      <c r="H146" s="57"/>
      <c r="I146" s="58" t="str">
        <f t="shared" si="2"/>
        <v/>
      </c>
      <c r="K146" s="133" t="s">
        <v>203</v>
      </c>
      <c r="L146" s="133"/>
      <c r="M146" s="133"/>
      <c r="N146" s="77"/>
      <c r="O146" s="133" t="s">
        <v>204</v>
      </c>
      <c r="P146" s="133"/>
      <c r="Q146" s="133"/>
      <c r="S146" s="60" t="str">
        <f>IF($G146="","",$G146&amp;"#"&amp;COUNTIF($G$10:$G146,$G146))</f>
        <v/>
      </c>
    </row>
    <row r="147" spans="2:19" ht="18.75" customHeight="1" x14ac:dyDescent="0.2">
      <c r="B147" s="61"/>
      <c r="C147" s="62"/>
      <c r="D147" s="62"/>
      <c r="E147" s="63"/>
      <c r="F147" s="63"/>
      <c r="G147" s="62"/>
      <c r="H147" s="64"/>
      <c r="I147" s="65" t="str">
        <f t="shared" si="2"/>
        <v/>
      </c>
      <c r="K147" s="66" t="s">
        <v>178</v>
      </c>
      <c r="L147" s="66" t="s">
        <v>160</v>
      </c>
      <c r="M147" s="66" t="s">
        <v>179</v>
      </c>
      <c r="N147" s="77"/>
      <c r="O147" s="66" t="s">
        <v>178</v>
      </c>
      <c r="P147" s="66" t="s">
        <v>160</v>
      </c>
      <c r="Q147" s="66" t="s">
        <v>179</v>
      </c>
      <c r="S147" s="60" t="str">
        <f>IF($G147="","",$G147&amp;"#"&amp;COUNTIF($G$10:$G147,$G147))</f>
        <v/>
      </c>
    </row>
    <row r="148" spans="2:19" ht="18.75" customHeight="1" x14ac:dyDescent="0.2">
      <c r="B148" s="54"/>
      <c r="C148" s="55"/>
      <c r="D148" s="55"/>
      <c r="E148" s="56"/>
      <c r="F148" s="56"/>
      <c r="G148" s="55"/>
      <c r="H148" s="57"/>
      <c r="I148" s="58" t="str">
        <f t="shared" si="2"/>
        <v/>
      </c>
      <c r="K148" s="67">
        <v>10</v>
      </c>
      <c r="L148" s="68">
        <f>SUMIF($G$10:$G$309,17,$C$10:$C$309)</f>
        <v>0</v>
      </c>
      <c r="M148" s="68">
        <f>K148-L148</f>
        <v>10</v>
      </c>
      <c r="N148" s="77"/>
      <c r="O148" s="67">
        <v>10</v>
      </c>
      <c r="P148" s="68">
        <f>SUMIF($G$10:$G$309,18,$C$10:$C$309)</f>
        <v>0</v>
      </c>
      <c r="Q148" s="68">
        <f>O148-P148</f>
        <v>10</v>
      </c>
      <c r="S148" s="60" t="str">
        <f>IF($G148="","",$G148&amp;"#"&amp;COUNTIF($G$10:$G148,$G148))</f>
        <v/>
      </c>
    </row>
    <row r="149" spans="2:19" ht="18.75" customHeight="1" x14ac:dyDescent="0.2">
      <c r="B149" s="61"/>
      <c r="C149" s="62"/>
      <c r="D149" s="62"/>
      <c r="E149" s="63"/>
      <c r="F149" s="63"/>
      <c r="G149" s="62"/>
      <c r="H149" s="64"/>
      <c r="I149" s="65" t="str">
        <f t="shared" si="2"/>
        <v/>
      </c>
      <c r="K149" s="69" t="s">
        <v>163</v>
      </c>
      <c r="L149" s="70" t="s">
        <v>185</v>
      </c>
      <c r="M149" s="70"/>
      <c r="N149" s="77"/>
      <c r="O149" s="69" t="s">
        <v>163</v>
      </c>
      <c r="P149" s="70" t="s">
        <v>185</v>
      </c>
      <c r="Q149" s="70"/>
      <c r="S149" s="60" t="str">
        <f>IF($G149="","",$G149&amp;"#"&amp;COUNTIF($G$10:$G149,$G149))</f>
        <v/>
      </c>
    </row>
    <row r="150" spans="2:19" ht="18.75" customHeight="1" x14ac:dyDescent="0.2">
      <c r="B150" s="54"/>
      <c r="C150" s="55"/>
      <c r="D150" s="55"/>
      <c r="E150" s="56"/>
      <c r="F150" s="56"/>
      <c r="G150" s="55"/>
      <c r="H150" s="57"/>
      <c r="I150" s="58" t="str">
        <f t="shared" si="2"/>
        <v/>
      </c>
      <c r="K150" s="63" t="str">
        <f>IFERROR(INDEX($B$10:$B$309,MATCH("17#1",$S$10:$S$309,0)),"")</f>
        <v/>
      </c>
      <c r="L150" s="62" t="str">
        <f>IF(K150="","",INDEX($C$10:$C$309,MATCH("17#1",$S$10:$S$309,0)))</f>
        <v/>
      </c>
      <c r="M150" s="71"/>
      <c r="N150" s="77"/>
      <c r="O150" s="63" t="str">
        <f>IFERROR(INDEX($B$10:$B$309,MATCH("18#1",$S$10:$S$309,0)),"")</f>
        <v/>
      </c>
      <c r="P150" s="62" t="str">
        <f>IF(O150="","",INDEX($C$10:$C$309,MATCH("18#1",$S$10:$S$309,0)))</f>
        <v/>
      </c>
      <c r="Q150" s="71"/>
      <c r="S150" s="60" t="str">
        <f>IF($G150="","",$G150&amp;"#"&amp;COUNTIF($G$10:$G150,$G150))</f>
        <v/>
      </c>
    </row>
    <row r="151" spans="2:19" ht="18.75" customHeight="1" x14ac:dyDescent="0.2">
      <c r="B151" s="61"/>
      <c r="C151" s="62"/>
      <c r="D151" s="62"/>
      <c r="E151" s="63"/>
      <c r="F151" s="63"/>
      <c r="G151" s="62"/>
      <c r="H151" s="64"/>
      <c r="I151" s="65" t="str">
        <f t="shared" si="2"/>
        <v/>
      </c>
      <c r="K151" s="72" t="str">
        <f>IFERROR(INDEX($B$10:$B$309,MATCH("17#2",$S$10:$S$309,0)),"")</f>
        <v/>
      </c>
      <c r="L151" s="73" t="str">
        <f>IF(K151="","",INDEX($C$10:$C$309,MATCH("17#2",$S$10:$S$309,0)))</f>
        <v/>
      </c>
      <c r="M151" s="74"/>
      <c r="N151" s="77"/>
      <c r="O151" s="72" t="str">
        <f>IFERROR(INDEX($B$10:$B$309,MATCH("18#2",$S$10:$S$309,0)),"")</f>
        <v/>
      </c>
      <c r="P151" s="73" t="str">
        <f>IF(O151="","",INDEX($C$10:$C$309,MATCH("18#2",$S$10:$S$309,0)))</f>
        <v/>
      </c>
      <c r="Q151" s="74"/>
      <c r="S151" s="60" t="str">
        <f>IF($G151="","",$G151&amp;"#"&amp;COUNTIF($G$10:$G151,$G151))</f>
        <v/>
      </c>
    </row>
    <row r="152" spans="2:19" ht="18.75" customHeight="1" x14ac:dyDescent="0.2">
      <c r="B152" s="54"/>
      <c r="C152" s="55"/>
      <c r="D152" s="55"/>
      <c r="E152" s="56"/>
      <c r="F152" s="56"/>
      <c r="G152" s="55"/>
      <c r="H152" s="57"/>
      <c r="I152" s="58" t="str">
        <f t="shared" si="2"/>
        <v/>
      </c>
      <c r="K152" s="63" t="str">
        <f>IFERROR(INDEX($B$10:$B$309,MATCH("17#3",$S$10:$S$309,0)),"")</f>
        <v/>
      </c>
      <c r="L152" s="62" t="str">
        <f>IF(K152="","",INDEX($C$10:$C$309,MATCH("17#3",$S$10:$S$309,0)))</f>
        <v/>
      </c>
      <c r="M152" s="71"/>
      <c r="N152" s="77"/>
      <c r="O152" s="63" t="str">
        <f>IFERROR(INDEX($B$10:$B$309,MATCH("18#3",$S$10:$S$309,0)),"")</f>
        <v/>
      </c>
      <c r="P152" s="62" t="str">
        <f>IF(O152="","",INDEX($C$10:$C$309,MATCH("18#3",$S$10:$S$309,0)))</f>
        <v/>
      </c>
      <c r="Q152" s="71"/>
      <c r="S152" s="60" t="str">
        <f>IF($G152="","",$G152&amp;"#"&amp;COUNTIF($G$10:$G152,$G152))</f>
        <v/>
      </c>
    </row>
    <row r="153" spans="2:19" ht="18.75" customHeight="1" x14ac:dyDescent="0.2">
      <c r="B153" s="61"/>
      <c r="C153" s="62"/>
      <c r="D153" s="62"/>
      <c r="E153" s="63"/>
      <c r="F153" s="63"/>
      <c r="G153" s="62"/>
      <c r="H153" s="64"/>
      <c r="I153" s="65" t="str">
        <f t="shared" si="2"/>
        <v/>
      </c>
      <c r="K153" s="72" t="str">
        <f>IFERROR(INDEX($B$10:$B$309,MATCH("17#4",$S$10:$S$309,0)),"")</f>
        <v/>
      </c>
      <c r="L153" s="73" t="str">
        <f>IF(K153="","",INDEX($C$10:$C$309,MATCH("17#4",$S$10:$S$309,0)))</f>
        <v/>
      </c>
      <c r="M153" s="74"/>
      <c r="N153" s="77"/>
      <c r="O153" s="72" t="str">
        <f>IFERROR(INDEX($B$10:$B$309,MATCH("18#4",$S$10:$S$309,0)),"")</f>
        <v/>
      </c>
      <c r="P153" s="73" t="str">
        <f>IF(O153="","",INDEX($C$10:$C$309,MATCH("18#4",$S$10:$S$309,0)))</f>
        <v/>
      </c>
      <c r="Q153" s="74"/>
      <c r="S153" s="60" t="str">
        <f>IF($G153="","",$G153&amp;"#"&amp;COUNTIF($G$10:$G153,$G153))</f>
        <v/>
      </c>
    </row>
    <row r="154" spans="2:19" ht="18.75" customHeight="1" x14ac:dyDescent="0.2">
      <c r="B154" s="54"/>
      <c r="C154" s="55"/>
      <c r="D154" s="55"/>
      <c r="E154" s="56"/>
      <c r="F154" s="56"/>
      <c r="G154" s="55"/>
      <c r="H154" s="57"/>
      <c r="I154" s="58" t="str">
        <f t="shared" si="2"/>
        <v/>
      </c>
      <c r="K154" s="63" t="str">
        <f>IFERROR(INDEX($B$10:$B$309,MATCH("17#5",$S$10:$S$309,0)),"")</f>
        <v/>
      </c>
      <c r="L154" s="62" t="str">
        <f>IF(K154="","",INDEX($C$10:$C$309,MATCH("17#5",$S$10:$S$309,0)))</f>
        <v/>
      </c>
      <c r="M154" s="71"/>
      <c r="N154" s="77"/>
      <c r="O154" s="63" t="str">
        <f>IFERROR(INDEX($B$10:$B$309,MATCH("18#5",$S$10:$S$309,0)),"")</f>
        <v/>
      </c>
      <c r="P154" s="62" t="str">
        <f>IF(O154="","",INDEX($C$10:$C$309,MATCH("18#5",$S$10:$S$309,0)))</f>
        <v/>
      </c>
      <c r="Q154" s="71"/>
      <c r="S154" s="60" t="str">
        <f>IF($G154="","",$G154&amp;"#"&amp;COUNTIF($G$10:$G154,$G154))</f>
        <v/>
      </c>
    </row>
    <row r="155" spans="2:19" ht="18.75" customHeight="1" x14ac:dyDescent="0.2">
      <c r="B155" s="61"/>
      <c r="C155" s="62"/>
      <c r="D155" s="62"/>
      <c r="E155" s="63"/>
      <c r="F155" s="63"/>
      <c r="G155" s="62"/>
      <c r="H155" s="64"/>
      <c r="I155" s="65" t="str">
        <f t="shared" si="2"/>
        <v/>
      </c>
      <c r="K155" s="72" t="str">
        <f>IFERROR(INDEX($B$10:$B$309,MATCH("17#6",$S$10:$S$309,0)),"")</f>
        <v/>
      </c>
      <c r="L155" s="73" t="str">
        <f>IF(K155="","",INDEX($C$10:$C$309,MATCH("17#6",$S$10:$S$309,0)))</f>
        <v/>
      </c>
      <c r="M155" s="74"/>
      <c r="N155" s="77"/>
      <c r="O155" s="72" t="str">
        <f>IFERROR(INDEX($B$10:$B$309,MATCH("18#6",$S$10:$S$309,0)),"")</f>
        <v/>
      </c>
      <c r="P155" s="73" t="str">
        <f>IF(O155="","",INDEX($C$10:$C$309,MATCH("18#6",$S$10:$S$309,0)))</f>
        <v/>
      </c>
      <c r="Q155" s="74"/>
      <c r="S155" s="60" t="str">
        <f>IF($G155="","",$G155&amp;"#"&amp;COUNTIF($G$10:$G155,$G155))</f>
        <v/>
      </c>
    </row>
    <row r="156" spans="2:19" ht="18.75" customHeight="1" x14ac:dyDescent="0.2">
      <c r="B156" s="54"/>
      <c r="C156" s="55"/>
      <c r="D156" s="55"/>
      <c r="E156" s="56"/>
      <c r="F156" s="56"/>
      <c r="G156" s="55"/>
      <c r="H156" s="57"/>
      <c r="I156" s="58" t="str">
        <f t="shared" si="2"/>
        <v/>
      </c>
      <c r="K156" s="63" t="str">
        <f>IFERROR(INDEX($B$10:$B$309,MATCH("17#7",$S$10:$S$309,0)),"")</f>
        <v/>
      </c>
      <c r="L156" s="62" t="str">
        <f>IF(K156="","",INDEX($C$10:$C$309,MATCH("17#7",$S$10:$S$309,0)))</f>
        <v/>
      </c>
      <c r="M156" s="71"/>
      <c r="N156" s="77"/>
      <c r="O156" s="63" t="str">
        <f>IFERROR(INDEX($B$10:$B$309,MATCH("18#7",$S$10:$S$309,0)),"")</f>
        <v/>
      </c>
      <c r="P156" s="62" t="str">
        <f>IF(O156="","",INDEX($C$10:$C$309,MATCH("18#7",$S$10:$S$309,0)))</f>
        <v/>
      </c>
      <c r="Q156" s="71"/>
      <c r="S156" s="60" t="str">
        <f>IF($G156="","",$G156&amp;"#"&amp;COUNTIF($G$10:$G156,$G156))</f>
        <v/>
      </c>
    </row>
    <row r="157" spans="2:19" ht="18.75" customHeight="1" x14ac:dyDescent="0.2">
      <c r="B157" s="61"/>
      <c r="C157" s="62"/>
      <c r="D157" s="62"/>
      <c r="E157" s="63"/>
      <c r="F157" s="63"/>
      <c r="G157" s="62"/>
      <c r="H157" s="64"/>
      <c r="I157" s="65" t="str">
        <f t="shared" si="2"/>
        <v/>
      </c>
      <c r="K157" s="72" t="str">
        <f>IFERROR(INDEX($B$10:$B$309,MATCH("17#8",$S$10:$S$309,0)),"")</f>
        <v/>
      </c>
      <c r="L157" s="73" t="str">
        <f>IF(K157="","",INDEX($C$10:$C$309,MATCH("17#8",$S$10:$S$309,0)))</f>
        <v/>
      </c>
      <c r="M157" s="74"/>
      <c r="N157" s="77"/>
      <c r="O157" s="72" t="str">
        <f>IFERROR(INDEX($B$10:$B$309,MATCH("18#8",$S$10:$S$309,0)),"")</f>
        <v/>
      </c>
      <c r="P157" s="73" t="str">
        <f>IF(O157="","",INDEX($C$10:$C$309,MATCH("18#8",$S$10:$S$309,0)))</f>
        <v/>
      </c>
      <c r="Q157" s="74"/>
      <c r="S157" s="60" t="str">
        <f>IF($G157="","",$G157&amp;"#"&amp;COUNTIF($G$10:$G157,$G157))</f>
        <v/>
      </c>
    </row>
    <row r="158" spans="2:19" ht="18.75" customHeight="1" x14ac:dyDescent="0.2">
      <c r="B158" s="54"/>
      <c r="C158" s="55"/>
      <c r="D158" s="55"/>
      <c r="E158" s="56"/>
      <c r="F158" s="56"/>
      <c r="G158" s="55"/>
      <c r="H158" s="57"/>
      <c r="I158" s="58" t="str">
        <f t="shared" si="2"/>
        <v/>
      </c>
      <c r="K158" s="63" t="str">
        <f>IFERROR(INDEX($B$10:$B$309,MATCH("17#9",$S$10:$S$309,0)),"")</f>
        <v/>
      </c>
      <c r="L158" s="62" t="str">
        <f>IF(K158="","",INDEX($C$10:$C$309,MATCH("17#9",$S$10:$S$309,0)))</f>
        <v/>
      </c>
      <c r="M158" s="71"/>
      <c r="N158" s="77"/>
      <c r="O158" s="63" t="str">
        <f>IFERROR(INDEX($B$10:$B$309,MATCH("18#9",$S$10:$S$309,0)),"")</f>
        <v/>
      </c>
      <c r="P158" s="62" t="str">
        <f>IF(O158="","",INDEX($C$10:$C$309,MATCH("18#9",$S$10:$S$309,0)))</f>
        <v/>
      </c>
      <c r="Q158" s="71"/>
      <c r="S158" s="60" t="str">
        <f>IF($G158="","",$G158&amp;"#"&amp;COUNTIF($G$10:$G158,$G158))</f>
        <v/>
      </c>
    </row>
    <row r="159" spans="2:19" ht="18.75" customHeight="1" x14ac:dyDescent="0.2">
      <c r="B159" s="61"/>
      <c r="C159" s="62"/>
      <c r="D159" s="62"/>
      <c r="E159" s="63"/>
      <c r="F159" s="63"/>
      <c r="G159" s="62"/>
      <c r="H159" s="64"/>
      <c r="I159" s="65" t="str">
        <f t="shared" si="2"/>
        <v/>
      </c>
      <c r="K159" s="72" t="str">
        <f>IFERROR(INDEX($B$10:$B$309,MATCH("17#10",$S$10:$S$309,0)),"")</f>
        <v/>
      </c>
      <c r="L159" s="73" t="str">
        <f>IF(K159="","",INDEX($C$10:$C$309,MATCH("17#10",$S$10:$S$309,0)))</f>
        <v/>
      </c>
      <c r="M159" s="74"/>
      <c r="N159" s="77"/>
      <c r="O159" s="72" t="str">
        <f>IFERROR(INDEX($B$10:$B$309,MATCH("18#10",$S$10:$S$309,0)),"")</f>
        <v/>
      </c>
      <c r="P159" s="73" t="str">
        <f>IF(O159="","",INDEX($C$10:$C$309,MATCH("18#10",$S$10:$S$309,0)))</f>
        <v/>
      </c>
      <c r="Q159" s="74"/>
      <c r="S159" s="60" t="str">
        <f>IF($G159="","",$G159&amp;"#"&amp;COUNTIF($G$10:$G159,$G159))</f>
        <v/>
      </c>
    </row>
    <row r="160" spans="2:19" ht="18.75" customHeight="1" x14ac:dyDescent="0.2">
      <c r="B160" s="54"/>
      <c r="C160" s="55"/>
      <c r="D160" s="55"/>
      <c r="E160" s="56"/>
      <c r="F160" s="56"/>
      <c r="G160" s="55"/>
      <c r="H160" s="57"/>
      <c r="I160" s="58" t="str">
        <f t="shared" si="2"/>
        <v/>
      </c>
      <c r="K160" s="63" t="str">
        <f>IFERROR(INDEX($B$10:$B$309,MATCH("17#11",$S$10:$S$309,0)),"")</f>
        <v/>
      </c>
      <c r="L160" s="62" t="str">
        <f>IF(K160="","",INDEX($C$10:$C$309,MATCH("17#11",$S$10:$S$309,0)))</f>
        <v/>
      </c>
      <c r="M160" s="71"/>
      <c r="N160" s="77"/>
      <c r="O160" s="63" t="str">
        <f>IFERROR(INDEX($B$10:$B$309,MATCH("18#11",$S$10:$S$309,0)),"")</f>
        <v/>
      </c>
      <c r="P160" s="62" t="str">
        <f>IF(O160="","",INDEX($C$10:$C$309,MATCH("18#11",$S$10:$S$309,0)))</f>
        <v/>
      </c>
      <c r="Q160" s="71"/>
      <c r="S160" s="60" t="str">
        <f>IF($G160="","",$G160&amp;"#"&amp;COUNTIF($G$10:$G160,$G160))</f>
        <v/>
      </c>
    </row>
    <row r="161" spans="2:19" ht="18.75" customHeight="1" x14ac:dyDescent="0.2">
      <c r="B161" s="61"/>
      <c r="C161" s="62"/>
      <c r="D161" s="62"/>
      <c r="E161" s="63"/>
      <c r="F161" s="63"/>
      <c r="G161" s="62"/>
      <c r="H161" s="64"/>
      <c r="I161" s="65" t="str">
        <f t="shared" si="2"/>
        <v/>
      </c>
      <c r="K161" s="72" t="str">
        <f>IFERROR(INDEX($B$10:$B$309,MATCH("17#12",$S$10:$S$309,0)),"")</f>
        <v/>
      </c>
      <c r="L161" s="73" t="str">
        <f>IF(K161="","",INDEX($C$10:$C$309,MATCH("17#12",$S$10:$S$309,0)))</f>
        <v/>
      </c>
      <c r="M161" s="74"/>
      <c r="N161" s="77"/>
      <c r="O161" s="72" t="str">
        <f>IFERROR(INDEX($B$10:$B$309,MATCH("18#12",$S$10:$S$309,0)),"")</f>
        <v/>
      </c>
      <c r="P161" s="73" t="str">
        <f>IF(O161="","",INDEX($C$10:$C$309,MATCH("18#12",$S$10:$S$309,0)))</f>
        <v/>
      </c>
      <c r="Q161" s="74"/>
      <c r="S161" s="60" t="str">
        <f>IF($G161="","",$G161&amp;"#"&amp;COUNTIF($G$10:$G161,$G161))</f>
        <v/>
      </c>
    </row>
    <row r="162" spans="2:19" ht="18.75" customHeight="1" x14ac:dyDescent="0.2">
      <c r="B162" s="54"/>
      <c r="C162" s="55"/>
      <c r="D162" s="55"/>
      <c r="E162" s="56"/>
      <c r="F162" s="56"/>
      <c r="G162" s="55"/>
      <c r="H162" s="57"/>
      <c r="I162" s="58" t="str">
        <f t="shared" si="2"/>
        <v/>
      </c>
      <c r="K162" s="75"/>
      <c r="L162" s="59"/>
      <c r="M162" s="59"/>
      <c r="N162" s="77"/>
      <c r="O162" s="75"/>
      <c r="P162" s="59"/>
      <c r="Q162" s="59"/>
      <c r="S162" s="60" t="str">
        <f>IF($G162="","",$G162&amp;"#"&amp;COUNTIF($G$10:$G162,$G162))</f>
        <v/>
      </c>
    </row>
    <row r="163" spans="2:19" ht="18.75" customHeight="1" x14ac:dyDescent="0.2">
      <c r="B163" s="61"/>
      <c r="C163" s="62"/>
      <c r="D163" s="62"/>
      <c r="E163" s="63"/>
      <c r="F163" s="63"/>
      <c r="G163" s="62"/>
      <c r="H163" s="64"/>
      <c r="I163" s="65" t="str">
        <f t="shared" si="2"/>
        <v/>
      </c>
      <c r="K163" s="133" t="s">
        <v>205</v>
      </c>
      <c r="L163" s="133"/>
      <c r="M163" s="133"/>
      <c r="N163" s="77"/>
      <c r="O163" s="133" t="s">
        <v>206</v>
      </c>
      <c r="P163" s="133"/>
      <c r="Q163" s="133"/>
      <c r="S163" s="60" t="str">
        <f>IF($G163="","",$G163&amp;"#"&amp;COUNTIF($G$10:$G163,$G163))</f>
        <v/>
      </c>
    </row>
    <row r="164" spans="2:19" ht="18.75" customHeight="1" x14ac:dyDescent="0.2">
      <c r="B164" s="54"/>
      <c r="C164" s="55"/>
      <c r="D164" s="55"/>
      <c r="E164" s="56"/>
      <c r="F164" s="56"/>
      <c r="G164" s="55"/>
      <c r="H164" s="57"/>
      <c r="I164" s="58" t="str">
        <f t="shared" si="2"/>
        <v/>
      </c>
      <c r="K164" s="66" t="s">
        <v>178</v>
      </c>
      <c r="L164" s="66" t="s">
        <v>160</v>
      </c>
      <c r="M164" s="66" t="s">
        <v>179</v>
      </c>
      <c r="N164" s="77"/>
      <c r="O164" s="66" t="s">
        <v>178</v>
      </c>
      <c r="P164" s="66" t="s">
        <v>160</v>
      </c>
      <c r="Q164" s="66" t="s">
        <v>179</v>
      </c>
      <c r="S164" s="60" t="str">
        <f>IF($G164="","",$G164&amp;"#"&amp;COUNTIF($G$10:$G164,$G164))</f>
        <v/>
      </c>
    </row>
    <row r="165" spans="2:19" ht="18.75" customHeight="1" x14ac:dyDescent="0.2">
      <c r="B165" s="61"/>
      <c r="C165" s="62"/>
      <c r="D165" s="62"/>
      <c r="E165" s="63"/>
      <c r="F165" s="63"/>
      <c r="G165" s="62"/>
      <c r="H165" s="64"/>
      <c r="I165" s="65" t="str">
        <f t="shared" si="2"/>
        <v/>
      </c>
      <c r="K165" s="67">
        <v>10</v>
      </c>
      <c r="L165" s="68">
        <f>SUMIF($G$10:$G$309,19,$C$10:$C$309)</f>
        <v>0</v>
      </c>
      <c r="M165" s="68">
        <f>K165-L165</f>
        <v>10</v>
      </c>
      <c r="N165" s="77"/>
      <c r="O165" s="67">
        <v>10</v>
      </c>
      <c r="P165" s="68">
        <f>SUMIF($G$10:$G$309,20,$C$10:$C$309)</f>
        <v>0</v>
      </c>
      <c r="Q165" s="68">
        <f>O165-P165</f>
        <v>10</v>
      </c>
      <c r="S165" s="60" t="str">
        <f>IF($G165="","",$G165&amp;"#"&amp;COUNTIF($G$10:$G165,$G165))</f>
        <v/>
      </c>
    </row>
    <row r="166" spans="2:19" ht="18.75" customHeight="1" x14ac:dyDescent="0.2">
      <c r="B166" s="54"/>
      <c r="C166" s="55"/>
      <c r="D166" s="55"/>
      <c r="E166" s="56"/>
      <c r="F166" s="56"/>
      <c r="G166" s="55"/>
      <c r="H166" s="57"/>
      <c r="I166" s="58" t="str">
        <f t="shared" si="2"/>
        <v/>
      </c>
      <c r="K166" s="69" t="s">
        <v>163</v>
      </c>
      <c r="L166" s="70" t="s">
        <v>185</v>
      </c>
      <c r="M166" s="70"/>
      <c r="N166" s="77"/>
      <c r="O166" s="69" t="s">
        <v>163</v>
      </c>
      <c r="P166" s="70" t="s">
        <v>185</v>
      </c>
      <c r="Q166" s="70"/>
      <c r="S166" s="60" t="str">
        <f>IF($G166="","",$G166&amp;"#"&amp;COUNTIF($G$10:$G166,$G166))</f>
        <v/>
      </c>
    </row>
    <row r="167" spans="2:19" ht="18.75" customHeight="1" x14ac:dyDescent="0.2">
      <c r="B167" s="61"/>
      <c r="C167" s="62"/>
      <c r="D167" s="62"/>
      <c r="E167" s="63"/>
      <c r="F167" s="63"/>
      <c r="G167" s="62"/>
      <c r="H167" s="64"/>
      <c r="I167" s="65" t="str">
        <f t="shared" si="2"/>
        <v/>
      </c>
      <c r="K167" s="63" t="str">
        <f>IFERROR(INDEX($B$10:$B$309,MATCH("19#1",$S$10:$S$309,0)),"")</f>
        <v/>
      </c>
      <c r="L167" s="62" t="str">
        <f>IF(K167="","",INDEX($C$10:$C$309,MATCH("19#1",$S$10:$S$309,0)))</f>
        <v/>
      </c>
      <c r="M167" s="71"/>
      <c r="N167" s="77"/>
      <c r="O167" s="63" t="str">
        <f>IFERROR(INDEX($B$10:$B$309,MATCH("20#1",$S$10:$S$309,0)),"")</f>
        <v/>
      </c>
      <c r="P167" s="62" t="str">
        <f>IF(O167="","",INDEX($C$10:$C$309,MATCH("20#1",$S$10:$S$309,0)))</f>
        <v/>
      </c>
      <c r="Q167" s="71"/>
      <c r="S167" s="60" t="str">
        <f>IF($G167="","",$G167&amp;"#"&amp;COUNTIF($G$10:$G167,$G167))</f>
        <v/>
      </c>
    </row>
    <row r="168" spans="2:19" ht="18.75" customHeight="1" x14ac:dyDescent="0.2">
      <c r="B168" s="54"/>
      <c r="C168" s="55"/>
      <c r="D168" s="55"/>
      <c r="E168" s="56"/>
      <c r="F168" s="56"/>
      <c r="G168" s="55"/>
      <c r="H168" s="57"/>
      <c r="I168" s="58" t="str">
        <f t="shared" si="2"/>
        <v/>
      </c>
      <c r="K168" s="72" t="str">
        <f>IFERROR(INDEX($B$10:$B$309,MATCH("19#2",$S$10:$S$309,0)),"")</f>
        <v/>
      </c>
      <c r="L168" s="73" t="str">
        <f>IF(K168="","",INDEX($C$10:$C$309,MATCH("19#2",$S$10:$S$309,0)))</f>
        <v/>
      </c>
      <c r="M168" s="74"/>
      <c r="N168" s="77"/>
      <c r="O168" s="72" t="str">
        <f>IFERROR(INDEX($B$10:$B$309,MATCH("20#2",$S$10:$S$309,0)),"")</f>
        <v/>
      </c>
      <c r="P168" s="73" t="str">
        <f>IF(O168="","",INDEX($C$10:$C$309,MATCH("20#2",$S$10:$S$309,0)))</f>
        <v/>
      </c>
      <c r="Q168" s="74"/>
      <c r="S168" s="60" t="str">
        <f>IF($G168="","",$G168&amp;"#"&amp;COUNTIF($G$10:$G168,$G168))</f>
        <v/>
      </c>
    </row>
    <row r="169" spans="2:19" ht="18.75" customHeight="1" x14ac:dyDescent="0.2">
      <c r="B169" s="61"/>
      <c r="C169" s="62"/>
      <c r="D169" s="62"/>
      <c r="E169" s="63"/>
      <c r="F169" s="63"/>
      <c r="G169" s="62"/>
      <c r="H169" s="64"/>
      <c r="I169" s="65" t="str">
        <f t="shared" si="2"/>
        <v/>
      </c>
      <c r="K169" s="63" t="str">
        <f>IFERROR(INDEX($B$10:$B$309,MATCH("19#3",$S$10:$S$309,0)),"")</f>
        <v/>
      </c>
      <c r="L169" s="62" t="str">
        <f>IF(K169="","",INDEX($C$10:$C$309,MATCH("19#3",$S$10:$S$309,0)))</f>
        <v/>
      </c>
      <c r="M169" s="71"/>
      <c r="N169" s="77"/>
      <c r="O169" s="63" t="str">
        <f>IFERROR(INDEX($B$10:$B$309,MATCH("20#3",$S$10:$S$309,0)),"")</f>
        <v/>
      </c>
      <c r="P169" s="62" t="str">
        <f>IF(O169="","",INDEX($C$10:$C$309,MATCH("20#3",$S$10:$S$309,0)))</f>
        <v/>
      </c>
      <c r="Q169" s="71"/>
      <c r="S169" s="60" t="str">
        <f>IF($G169="","",$G169&amp;"#"&amp;COUNTIF($G$10:$G169,$G169))</f>
        <v/>
      </c>
    </row>
    <row r="170" spans="2:19" ht="18.75" customHeight="1" x14ac:dyDescent="0.2">
      <c r="B170" s="54"/>
      <c r="C170" s="55"/>
      <c r="D170" s="55"/>
      <c r="E170" s="56"/>
      <c r="F170" s="56"/>
      <c r="G170" s="55"/>
      <c r="H170" s="57"/>
      <c r="I170" s="58" t="str">
        <f t="shared" si="2"/>
        <v/>
      </c>
      <c r="K170" s="72" t="str">
        <f>IFERROR(INDEX($B$10:$B$309,MATCH("19#4",$S$10:$S$309,0)),"")</f>
        <v/>
      </c>
      <c r="L170" s="73" t="str">
        <f>IF(K170="","",INDEX($C$10:$C$309,MATCH("19#4",$S$10:$S$309,0)))</f>
        <v/>
      </c>
      <c r="M170" s="74"/>
      <c r="N170" s="77"/>
      <c r="O170" s="72" t="str">
        <f>IFERROR(INDEX($B$10:$B$309,MATCH("20#4",$S$10:$S$309,0)),"")</f>
        <v/>
      </c>
      <c r="P170" s="73" t="str">
        <f>IF(O170="","",INDEX($C$10:$C$309,MATCH("20#4",$S$10:$S$309,0)))</f>
        <v/>
      </c>
      <c r="Q170" s="74"/>
      <c r="S170" s="60" t="str">
        <f>IF($G170="","",$G170&amp;"#"&amp;COUNTIF($G$10:$G170,$G170))</f>
        <v/>
      </c>
    </row>
    <row r="171" spans="2:19" ht="18.75" customHeight="1" x14ac:dyDescent="0.2">
      <c r="B171" s="61"/>
      <c r="C171" s="62"/>
      <c r="D171" s="62"/>
      <c r="E171" s="63"/>
      <c r="F171" s="63"/>
      <c r="G171" s="62"/>
      <c r="H171" s="64"/>
      <c r="I171" s="65" t="str">
        <f t="shared" si="2"/>
        <v/>
      </c>
      <c r="K171" s="63" t="str">
        <f>IFERROR(INDEX($B$10:$B$309,MATCH("19#5",$S$10:$S$309,0)),"")</f>
        <v/>
      </c>
      <c r="L171" s="62" t="str">
        <f>IF(K171="","",INDEX($C$10:$C$309,MATCH("19#5",$S$10:$S$309,0)))</f>
        <v/>
      </c>
      <c r="M171" s="71"/>
      <c r="N171" s="77"/>
      <c r="O171" s="63" t="str">
        <f>IFERROR(INDEX($B$10:$B$309,MATCH("20#5",$S$10:$S$309,0)),"")</f>
        <v/>
      </c>
      <c r="P171" s="62" t="str">
        <f>IF(O171="","",INDEX($C$10:$C$309,MATCH("20#5",$S$10:$S$309,0)))</f>
        <v/>
      </c>
      <c r="Q171" s="71"/>
      <c r="S171" s="60" t="str">
        <f>IF($G171="","",$G171&amp;"#"&amp;COUNTIF($G$10:$G171,$G171))</f>
        <v/>
      </c>
    </row>
    <row r="172" spans="2:19" ht="18.75" customHeight="1" x14ac:dyDescent="0.2">
      <c r="B172" s="54"/>
      <c r="C172" s="55"/>
      <c r="D172" s="55"/>
      <c r="E172" s="56"/>
      <c r="F172" s="56"/>
      <c r="G172" s="55"/>
      <c r="H172" s="57"/>
      <c r="I172" s="58" t="str">
        <f t="shared" si="2"/>
        <v/>
      </c>
      <c r="K172" s="72" t="str">
        <f>IFERROR(INDEX($B$10:$B$309,MATCH("19#6",$S$10:$S$309,0)),"")</f>
        <v/>
      </c>
      <c r="L172" s="73" t="str">
        <f>IF(K172="","",INDEX($C$10:$C$309,MATCH("19#6",$S$10:$S$309,0)))</f>
        <v/>
      </c>
      <c r="M172" s="74"/>
      <c r="N172" s="77"/>
      <c r="O172" s="72" t="str">
        <f>IFERROR(INDEX($B$10:$B$309,MATCH("20#6",$S$10:$S$309,0)),"")</f>
        <v/>
      </c>
      <c r="P172" s="73" t="str">
        <f>IF(O172="","",INDEX($C$10:$C$309,MATCH("20#6",$S$10:$S$309,0)))</f>
        <v/>
      </c>
      <c r="Q172" s="74"/>
      <c r="S172" s="60" t="str">
        <f>IF($G172="","",$G172&amp;"#"&amp;COUNTIF($G$10:$G172,$G172))</f>
        <v/>
      </c>
    </row>
    <row r="173" spans="2:19" ht="18.75" customHeight="1" x14ac:dyDescent="0.2">
      <c r="B173" s="61"/>
      <c r="C173" s="62"/>
      <c r="D173" s="62"/>
      <c r="E173" s="63"/>
      <c r="F173" s="63"/>
      <c r="G173" s="62"/>
      <c r="H173" s="64"/>
      <c r="I173" s="65" t="str">
        <f t="shared" si="2"/>
        <v/>
      </c>
      <c r="K173" s="63" t="str">
        <f>IFERROR(INDEX($B$10:$B$309,MATCH("19#7",$S$10:$S$309,0)),"")</f>
        <v/>
      </c>
      <c r="L173" s="62" t="str">
        <f>IF(K173="","",INDEX($C$10:$C$309,MATCH("19#7",$S$10:$S$309,0)))</f>
        <v/>
      </c>
      <c r="M173" s="71"/>
      <c r="N173" s="77"/>
      <c r="O173" s="63" t="str">
        <f>IFERROR(INDEX($B$10:$B$309,MATCH("20#7",$S$10:$S$309,0)),"")</f>
        <v/>
      </c>
      <c r="P173" s="62" t="str">
        <f>IF(O173="","",INDEX($C$10:$C$309,MATCH("20#7",$S$10:$S$309,0)))</f>
        <v/>
      </c>
      <c r="Q173" s="71"/>
      <c r="S173" s="60" t="str">
        <f>IF($G173="","",$G173&amp;"#"&amp;COUNTIF($G$10:$G173,$G173))</f>
        <v/>
      </c>
    </row>
    <row r="174" spans="2:19" ht="18.75" customHeight="1" x14ac:dyDescent="0.2">
      <c r="B174" s="54"/>
      <c r="C174" s="55"/>
      <c r="D174" s="55"/>
      <c r="E174" s="56"/>
      <c r="F174" s="56"/>
      <c r="G174" s="55"/>
      <c r="H174" s="57"/>
      <c r="I174" s="58" t="str">
        <f t="shared" si="2"/>
        <v/>
      </c>
      <c r="K174" s="72" t="str">
        <f>IFERROR(INDEX($B$10:$B$309,MATCH("19#8",$S$10:$S$309,0)),"")</f>
        <v/>
      </c>
      <c r="L174" s="73" t="str">
        <f>IF(K174="","",INDEX($C$10:$C$309,MATCH("19#8",$S$10:$S$309,0)))</f>
        <v/>
      </c>
      <c r="M174" s="74"/>
      <c r="N174" s="77"/>
      <c r="O174" s="72" t="str">
        <f>IFERROR(INDEX($B$10:$B$309,MATCH("20#8",$S$10:$S$309,0)),"")</f>
        <v/>
      </c>
      <c r="P174" s="73" t="str">
        <f>IF(O174="","",INDEX($C$10:$C$309,MATCH("20#8",$S$10:$S$309,0)))</f>
        <v/>
      </c>
      <c r="Q174" s="74"/>
      <c r="S174" s="60" t="str">
        <f>IF($G174="","",$G174&amp;"#"&amp;COUNTIF($G$10:$G174,$G174))</f>
        <v/>
      </c>
    </row>
    <row r="175" spans="2:19" ht="18.75" customHeight="1" x14ac:dyDescent="0.2">
      <c r="B175" s="61"/>
      <c r="C175" s="62"/>
      <c r="D175" s="62"/>
      <c r="E175" s="63"/>
      <c r="F175" s="63"/>
      <c r="G175" s="62"/>
      <c r="H175" s="64"/>
      <c r="I175" s="65" t="str">
        <f t="shared" si="2"/>
        <v/>
      </c>
      <c r="K175" s="63" t="str">
        <f>IFERROR(INDEX($B$10:$B$309,MATCH("19#9",$S$10:$S$309,0)),"")</f>
        <v/>
      </c>
      <c r="L175" s="62" t="str">
        <f>IF(K175="","",INDEX($C$10:$C$309,MATCH("19#9",$S$10:$S$309,0)))</f>
        <v/>
      </c>
      <c r="M175" s="71"/>
      <c r="N175" s="77"/>
      <c r="O175" s="63" t="str">
        <f>IFERROR(INDEX($B$10:$B$309,MATCH("20#9",$S$10:$S$309,0)),"")</f>
        <v/>
      </c>
      <c r="P175" s="62" t="str">
        <f>IF(O175="","",INDEX($C$10:$C$309,MATCH("20#9",$S$10:$S$309,0)))</f>
        <v/>
      </c>
      <c r="Q175" s="71"/>
      <c r="S175" s="60" t="str">
        <f>IF($G175="","",$G175&amp;"#"&amp;COUNTIF($G$10:$G175,$G175))</f>
        <v/>
      </c>
    </row>
    <row r="176" spans="2:19" ht="18.75" customHeight="1" x14ac:dyDescent="0.2">
      <c r="B176" s="54"/>
      <c r="C176" s="55"/>
      <c r="D176" s="55"/>
      <c r="E176" s="56"/>
      <c r="F176" s="56"/>
      <c r="G176" s="55"/>
      <c r="H176" s="57"/>
      <c r="I176" s="58" t="str">
        <f t="shared" si="2"/>
        <v/>
      </c>
      <c r="K176" s="72" t="str">
        <f>IFERROR(INDEX($B$10:$B$309,MATCH("19#10",$S$10:$S$309,0)),"")</f>
        <v/>
      </c>
      <c r="L176" s="73" t="str">
        <f>IF(K176="","",INDEX($C$10:$C$309,MATCH("19#10",$S$10:$S$309,0)))</f>
        <v/>
      </c>
      <c r="M176" s="74"/>
      <c r="N176" s="77"/>
      <c r="O176" s="72" t="str">
        <f>IFERROR(INDEX($B$10:$B$309,MATCH("20#10",$S$10:$S$309,0)),"")</f>
        <v/>
      </c>
      <c r="P176" s="73" t="str">
        <f>IF(O176="","",INDEX($C$10:$C$309,MATCH("20#10",$S$10:$S$309,0)))</f>
        <v/>
      </c>
      <c r="Q176" s="74"/>
      <c r="S176" s="60" t="str">
        <f>IF($G176="","",$G176&amp;"#"&amp;COUNTIF($G$10:$G176,$G176))</f>
        <v/>
      </c>
    </row>
    <row r="177" spans="2:19" ht="18.75" customHeight="1" x14ac:dyDescent="0.2">
      <c r="B177" s="61"/>
      <c r="C177" s="62"/>
      <c r="D177" s="62"/>
      <c r="E177" s="63"/>
      <c r="F177" s="63"/>
      <c r="G177" s="62"/>
      <c r="H177" s="64"/>
      <c r="I177" s="65" t="str">
        <f t="shared" si="2"/>
        <v/>
      </c>
      <c r="K177" s="63" t="str">
        <f>IFERROR(INDEX($B$10:$B$309,MATCH("19#11",$S$10:$S$309,0)),"")</f>
        <v/>
      </c>
      <c r="L177" s="62" t="str">
        <f>IF(K177="","",INDEX($C$10:$C$309,MATCH("19#11",$S$10:$S$309,0)))</f>
        <v/>
      </c>
      <c r="M177" s="71"/>
      <c r="N177" s="77"/>
      <c r="O177" s="63" t="str">
        <f>IFERROR(INDEX($B$10:$B$309,MATCH("20#11",$S$10:$S$309,0)),"")</f>
        <v/>
      </c>
      <c r="P177" s="62" t="str">
        <f>IF(O177="","",INDEX($C$10:$C$309,MATCH("20#11",$S$10:$S$309,0)))</f>
        <v/>
      </c>
      <c r="Q177" s="71"/>
      <c r="S177" s="60" t="str">
        <f>IF($G177="","",$G177&amp;"#"&amp;COUNTIF($G$10:$G177,$G177))</f>
        <v/>
      </c>
    </row>
    <row r="178" spans="2:19" ht="18.75" customHeight="1" x14ac:dyDescent="0.2">
      <c r="B178" s="54"/>
      <c r="C178" s="55"/>
      <c r="D178" s="55"/>
      <c r="E178" s="56"/>
      <c r="F178" s="56"/>
      <c r="G178" s="55"/>
      <c r="H178" s="57"/>
      <c r="I178" s="58" t="str">
        <f t="shared" si="2"/>
        <v/>
      </c>
      <c r="K178" s="72" t="str">
        <f>IFERROR(INDEX($B$10:$B$309,MATCH("19#12",$S$10:$S$309,0)),"")</f>
        <v/>
      </c>
      <c r="L178" s="73" t="str">
        <f>IF(K178="","",INDEX($C$10:$C$309,MATCH("19#12",$S$10:$S$309,0)))</f>
        <v/>
      </c>
      <c r="M178" s="74"/>
      <c r="N178" s="77"/>
      <c r="O178" s="72" t="str">
        <f>IFERROR(INDEX($B$10:$B$309,MATCH("20#12",$S$10:$S$309,0)),"")</f>
        <v/>
      </c>
      <c r="P178" s="73" t="str">
        <f>IF(O178="","",INDEX($C$10:$C$309,MATCH("20#12",$S$10:$S$309,0)))</f>
        <v/>
      </c>
      <c r="Q178" s="74"/>
      <c r="S178" s="60" t="str">
        <f>IF($G178="","",$G178&amp;"#"&amp;COUNTIF($G$10:$G178,$G178))</f>
        <v/>
      </c>
    </row>
    <row r="179" spans="2:19" ht="18.75" customHeight="1" x14ac:dyDescent="0.2">
      <c r="B179" s="61"/>
      <c r="C179" s="62"/>
      <c r="D179" s="62"/>
      <c r="E179" s="63"/>
      <c r="F179" s="63"/>
      <c r="G179" s="62"/>
      <c r="H179" s="64"/>
      <c r="I179" s="65" t="str">
        <f t="shared" si="2"/>
        <v/>
      </c>
      <c r="K179" s="75"/>
      <c r="L179" s="59"/>
      <c r="M179" s="59"/>
      <c r="N179" s="77"/>
      <c r="O179" s="75"/>
      <c r="P179" s="59"/>
      <c r="Q179" s="59"/>
      <c r="S179" s="60" t="str">
        <f>IF($G179="","",$G179&amp;"#"&amp;COUNTIF($G$10:$G179,$G179))</f>
        <v/>
      </c>
    </row>
    <row r="180" spans="2:19" ht="18.75" customHeight="1" x14ac:dyDescent="0.2">
      <c r="B180" s="54"/>
      <c r="C180" s="55"/>
      <c r="D180" s="55"/>
      <c r="E180" s="56"/>
      <c r="F180" s="56"/>
      <c r="G180" s="55"/>
      <c r="H180" s="57"/>
      <c r="I180" s="58" t="str">
        <f t="shared" si="2"/>
        <v/>
      </c>
      <c r="K180" s="133" t="s">
        <v>207</v>
      </c>
      <c r="L180" s="133"/>
      <c r="M180" s="133"/>
      <c r="N180" s="77"/>
      <c r="O180" s="133" t="s">
        <v>208</v>
      </c>
      <c r="P180" s="133"/>
      <c r="Q180" s="133"/>
      <c r="S180" s="60" t="str">
        <f>IF($G180="","",$G180&amp;"#"&amp;COUNTIF($G$10:$G180,$G180))</f>
        <v/>
      </c>
    </row>
    <row r="181" spans="2:19" ht="18.75" customHeight="1" x14ac:dyDescent="0.2">
      <c r="B181" s="61"/>
      <c r="C181" s="62"/>
      <c r="D181" s="62"/>
      <c r="E181" s="63"/>
      <c r="F181" s="63"/>
      <c r="G181" s="62"/>
      <c r="H181" s="64"/>
      <c r="I181" s="65" t="str">
        <f t="shared" si="2"/>
        <v/>
      </c>
      <c r="K181" s="66" t="s">
        <v>178</v>
      </c>
      <c r="L181" s="66" t="s">
        <v>160</v>
      </c>
      <c r="M181" s="66" t="s">
        <v>179</v>
      </c>
      <c r="N181" s="77"/>
      <c r="O181" s="66" t="s">
        <v>178</v>
      </c>
      <c r="P181" s="66" t="s">
        <v>160</v>
      </c>
      <c r="Q181" s="66" t="s">
        <v>179</v>
      </c>
      <c r="S181" s="60" t="str">
        <f>IF($G181="","",$G181&amp;"#"&amp;COUNTIF($G$10:$G181,$G181))</f>
        <v/>
      </c>
    </row>
    <row r="182" spans="2:19" ht="18.75" customHeight="1" x14ac:dyDescent="0.2">
      <c r="B182" s="54"/>
      <c r="C182" s="55"/>
      <c r="D182" s="55"/>
      <c r="E182" s="56"/>
      <c r="F182" s="56"/>
      <c r="G182" s="55"/>
      <c r="H182" s="57"/>
      <c r="I182" s="58" t="str">
        <f t="shared" si="2"/>
        <v/>
      </c>
      <c r="K182" s="67">
        <v>10</v>
      </c>
      <c r="L182" s="68">
        <f>SUMIF($G$10:$G$309,21,$C$10:$C$309)</f>
        <v>0</v>
      </c>
      <c r="M182" s="68">
        <f>K182-L182</f>
        <v>10</v>
      </c>
      <c r="N182" s="77"/>
      <c r="O182" s="67">
        <v>10</v>
      </c>
      <c r="P182" s="68">
        <f>SUMIF($G$10:$G$309,22,$C$10:$C$309)</f>
        <v>0</v>
      </c>
      <c r="Q182" s="68">
        <f>O182-P182</f>
        <v>10</v>
      </c>
      <c r="S182" s="60" t="str">
        <f>IF($G182="","",$G182&amp;"#"&amp;COUNTIF($G$10:$G182,$G182))</f>
        <v/>
      </c>
    </row>
    <row r="183" spans="2:19" ht="18.75" customHeight="1" x14ac:dyDescent="0.2">
      <c r="B183" s="61"/>
      <c r="C183" s="62"/>
      <c r="D183" s="62"/>
      <c r="E183" s="63"/>
      <c r="F183" s="63"/>
      <c r="G183" s="62"/>
      <c r="H183" s="64"/>
      <c r="I183" s="65" t="str">
        <f t="shared" si="2"/>
        <v/>
      </c>
      <c r="K183" s="69" t="s">
        <v>163</v>
      </c>
      <c r="L183" s="70" t="s">
        <v>185</v>
      </c>
      <c r="M183" s="70"/>
      <c r="N183" s="77"/>
      <c r="O183" s="69" t="s">
        <v>163</v>
      </c>
      <c r="P183" s="70" t="s">
        <v>185</v>
      </c>
      <c r="Q183" s="70"/>
      <c r="S183" s="60" t="str">
        <f>IF($G183="","",$G183&amp;"#"&amp;COUNTIF($G$10:$G183,$G183))</f>
        <v/>
      </c>
    </row>
    <row r="184" spans="2:19" ht="18.75" customHeight="1" x14ac:dyDescent="0.2">
      <c r="B184" s="54"/>
      <c r="C184" s="55"/>
      <c r="D184" s="55"/>
      <c r="E184" s="56"/>
      <c r="F184" s="56"/>
      <c r="G184" s="55"/>
      <c r="H184" s="57"/>
      <c r="I184" s="58" t="str">
        <f t="shared" si="2"/>
        <v/>
      </c>
      <c r="K184" s="63" t="str">
        <f>IFERROR(INDEX($B$10:$B$309,MATCH("21#1",$S$10:$S$309,0)),"")</f>
        <v/>
      </c>
      <c r="L184" s="62" t="str">
        <f>IF(K184="","",INDEX($C$10:$C$309,MATCH("21#1",$S$10:$S$309,0)))</f>
        <v/>
      </c>
      <c r="M184" s="71"/>
      <c r="N184" s="77"/>
      <c r="O184" s="63" t="str">
        <f>IFERROR(INDEX($B$10:$B$309,MATCH("22#1",$S$10:$S$309,0)),"")</f>
        <v/>
      </c>
      <c r="P184" s="62" t="str">
        <f>IF(O184="","",INDEX($C$10:$C$309,MATCH("22#1",$S$10:$S$309,0)))</f>
        <v/>
      </c>
      <c r="Q184" s="71"/>
      <c r="S184" s="60" t="str">
        <f>IF($G184="","",$G184&amp;"#"&amp;COUNTIF($G$10:$G184,$G184))</f>
        <v/>
      </c>
    </row>
    <row r="185" spans="2:19" ht="18.75" customHeight="1" x14ac:dyDescent="0.2">
      <c r="B185" s="61"/>
      <c r="C185" s="62"/>
      <c r="D185" s="62"/>
      <c r="E185" s="63"/>
      <c r="F185" s="63"/>
      <c r="G185" s="62"/>
      <c r="H185" s="64"/>
      <c r="I185" s="65" t="str">
        <f t="shared" si="2"/>
        <v/>
      </c>
      <c r="K185" s="72" t="str">
        <f>IFERROR(INDEX($B$10:$B$309,MATCH("21#2",$S$10:$S$309,0)),"")</f>
        <v/>
      </c>
      <c r="L185" s="73" t="str">
        <f>IF(K185="","",INDEX($C$10:$C$309,MATCH("21#2",$S$10:$S$309,0)))</f>
        <v/>
      </c>
      <c r="M185" s="74"/>
      <c r="N185" s="77"/>
      <c r="O185" s="72" t="str">
        <f>IFERROR(INDEX($B$10:$B$309,MATCH("22#2",$S$10:$S$309,0)),"")</f>
        <v/>
      </c>
      <c r="P185" s="73" t="str">
        <f>IF(O185="","",INDEX($C$10:$C$309,MATCH("22#2",$S$10:$S$309,0)))</f>
        <v/>
      </c>
      <c r="Q185" s="74"/>
      <c r="S185" s="60" t="str">
        <f>IF($G185="","",$G185&amp;"#"&amp;COUNTIF($G$10:$G185,$G185))</f>
        <v/>
      </c>
    </row>
    <row r="186" spans="2:19" ht="18.75" customHeight="1" x14ac:dyDescent="0.2">
      <c r="B186" s="54"/>
      <c r="C186" s="55"/>
      <c r="D186" s="55"/>
      <c r="E186" s="56"/>
      <c r="F186" s="56"/>
      <c r="G186" s="55"/>
      <c r="H186" s="57"/>
      <c r="I186" s="58" t="str">
        <f t="shared" si="2"/>
        <v/>
      </c>
      <c r="K186" s="63" t="str">
        <f>IFERROR(INDEX($B$10:$B$309,MATCH("21#3",$S$10:$S$309,0)),"")</f>
        <v/>
      </c>
      <c r="L186" s="62" t="str">
        <f>IF(K186="","",INDEX($C$10:$C$309,MATCH("21#3",$S$10:$S$309,0)))</f>
        <v/>
      </c>
      <c r="M186" s="71"/>
      <c r="N186" s="77"/>
      <c r="O186" s="63" t="str">
        <f>IFERROR(INDEX($B$10:$B$309,MATCH("22#3",$S$10:$S$309,0)),"")</f>
        <v/>
      </c>
      <c r="P186" s="62" t="str">
        <f>IF(O186="","",INDEX($C$10:$C$309,MATCH("22#3",$S$10:$S$309,0)))</f>
        <v/>
      </c>
      <c r="Q186" s="71"/>
      <c r="S186" s="60" t="str">
        <f>IF($G186="","",$G186&amp;"#"&amp;COUNTIF($G$10:$G186,$G186))</f>
        <v/>
      </c>
    </row>
    <row r="187" spans="2:19" ht="18.75" customHeight="1" x14ac:dyDescent="0.2">
      <c r="B187" s="61"/>
      <c r="C187" s="62"/>
      <c r="D187" s="62"/>
      <c r="E187" s="63"/>
      <c r="F187" s="63"/>
      <c r="G187" s="62"/>
      <c r="H187" s="64"/>
      <c r="I187" s="65" t="str">
        <f t="shared" si="2"/>
        <v/>
      </c>
      <c r="K187" s="72" t="str">
        <f>IFERROR(INDEX($B$10:$B$309,MATCH("21#4",$S$10:$S$309,0)),"")</f>
        <v/>
      </c>
      <c r="L187" s="73" t="str">
        <f>IF(K187="","",INDEX($C$10:$C$309,MATCH("21#4",$S$10:$S$309,0)))</f>
        <v/>
      </c>
      <c r="M187" s="74"/>
      <c r="N187" s="77"/>
      <c r="O187" s="72" t="str">
        <f>IFERROR(INDEX($B$10:$B$309,MATCH("22#4",$S$10:$S$309,0)),"")</f>
        <v/>
      </c>
      <c r="P187" s="73" t="str">
        <f>IF(O187="","",INDEX($C$10:$C$309,MATCH("22#4",$S$10:$S$309,0)))</f>
        <v/>
      </c>
      <c r="Q187" s="74"/>
      <c r="S187" s="60" t="str">
        <f>IF($G187="","",$G187&amp;"#"&amp;COUNTIF($G$10:$G187,$G187))</f>
        <v/>
      </c>
    </row>
    <row r="188" spans="2:19" ht="18.75" customHeight="1" x14ac:dyDescent="0.2">
      <c r="B188" s="54"/>
      <c r="C188" s="55"/>
      <c r="D188" s="55"/>
      <c r="E188" s="56"/>
      <c r="F188" s="56"/>
      <c r="G188" s="55"/>
      <c r="H188" s="57"/>
      <c r="I188" s="58" t="str">
        <f t="shared" si="2"/>
        <v/>
      </c>
      <c r="K188" s="63" t="str">
        <f>IFERROR(INDEX($B$10:$B$309,MATCH("21#5",$S$10:$S$309,0)),"")</f>
        <v/>
      </c>
      <c r="L188" s="62" t="str">
        <f>IF(K188="","",INDEX($C$10:$C$309,MATCH("21#5",$S$10:$S$309,0)))</f>
        <v/>
      </c>
      <c r="M188" s="71"/>
      <c r="N188" s="77"/>
      <c r="O188" s="63" t="str">
        <f>IFERROR(INDEX($B$10:$B$309,MATCH("22#5",$S$10:$S$309,0)),"")</f>
        <v/>
      </c>
      <c r="P188" s="62" t="str">
        <f>IF(O188="","",INDEX($C$10:$C$309,MATCH("22#5",$S$10:$S$309,0)))</f>
        <v/>
      </c>
      <c r="Q188" s="71"/>
      <c r="S188" s="60" t="str">
        <f>IF($G188="","",$G188&amp;"#"&amp;COUNTIF($G$10:$G188,$G188))</f>
        <v/>
      </c>
    </row>
    <row r="189" spans="2:19" ht="18.75" customHeight="1" x14ac:dyDescent="0.2">
      <c r="B189" s="61"/>
      <c r="C189" s="62"/>
      <c r="D189" s="62"/>
      <c r="E189" s="63"/>
      <c r="F189" s="63"/>
      <c r="G189" s="62"/>
      <c r="H189" s="64"/>
      <c r="I189" s="65" t="str">
        <f t="shared" si="2"/>
        <v/>
      </c>
      <c r="K189" s="72" t="str">
        <f>IFERROR(INDEX($B$10:$B$309,MATCH("21#6",$S$10:$S$309,0)),"")</f>
        <v/>
      </c>
      <c r="L189" s="73" t="str">
        <f>IF(K189="","",INDEX($C$10:$C$309,MATCH("21#6",$S$10:$S$309,0)))</f>
        <v/>
      </c>
      <c r="M189" s="74"/>
      <c r="N189" s="77"/>
      <c r="O189" s="72" t="str">
        <f>IFERROR(INDEX($B$10:$B$309,MATCH("22#6",$S$10:$S$309,0)),"")</f>
        <v/>
      </c>
      <c r="P189" s="73" t="str">
        <f>IF(O189="","",INDEX($C$10:$C$309,MATCH("22#6",$S$10:$S$309,0)))</f>
        <v/>
      </c>
      <c r="Q189" s="74"/>
      <c r="S189" s="60" t="str">
        <f>IF($G189="","",$G189&amp;"#"&amp;COUNTIF($G$10:$G189,$G189))</f>
        <v/>
      </c>
    </row>
    <row r="190" spans="2:19" ht="18.75" customHeight="1" x14ac:dyDescent="0.2">
      <c r="B190" s="54"/>
      <c r="C190" s="55"/>
      <c r="D190" s="55"/>
      <c r="E190" s="56"/>
      <c r="F190" s="56"/>
      <c r="G190" s="55"/>
      <c r="H190" s="57"/>
      <c r="I190" s="58" t="str">
        <f t="shared" si="2"/>
        <v/>
      </c>
      <c r="K190" s="63" t="str">
        <f>IFERROR(INDEX($B$10:$B$309,MATCH("21#7",$S$10:$S$309,0)),"")</f>
        <v/>
      </c>
      <c r="L190" s="62" t="str">
        <f>IF(K190="","",INDEX($C$10:$C$309,MATCH("21#7",$S$10:$S$309,0)))</f>
        <v/>
      </c>
      <c r="M190" s="71"/>
      <c r="N190" s="77"/>
      <c r="O190" s="63" t="str">
        <f>IFERROR(INDEX($B$10:$B$309,MATCH("22#7",$S$10:$S$309,0)),"")</f>
        <v/>
      </c>
      <c r="P190" s="62" t="str">
        <f>IF(O190="","",INDEX($C$10:$C$309,MATCH("22#7",$S$10:$S$309,0)))</f>
        <v/>
      </c>
      <c r="Q190" s="71"/>
      <c r="S190" s="60" t="str">
        <f>IF($G190="","",$G190&amp;"#"&amp;COUNTIF($G$10:$G190,$G190))</f>
        <v/>
      </c>
    </row>
    <row r="191" spans="2:19" ht="18.75" customHeight="1" x14ac:dyDescent="0.2">
      <c r="B191" s="61"/>
      <c r="C191" s="62"/>
      <c r="D191" s="62"/>
      <c r="E191" s="63"/>
      <c r="F191" s="63"/>
      <c r="G191" s="62"/>
      <c r="H191" s="64"/>
      <c r="I191" s="65" t="str">
        <f t="shared" si="2"/>
        <v/>
      </c>
      <c r="K191" s="72" t="str">
        <f>IFERROR(INDEX($B$10:$B$309,MATCH("21#8",$S$10:$S$309,0)),"")</f>
        <v/>
      </c>
      <c r="L191" s="73" t="str">
        <f>IF(K191="","",INDEX($C$10:$C$309,MATCH("21#8",$S$10:$S$309,0)))</f>
        <v/>
      </c>
      <c r="M191" s="74"/>
      <c r="N191" s="77"/>
      <c r="O191" s="72" t="str">
        <f>IFERROR(INDEX($B$10:$B$309,MATCH("22#8",$S$10:$S$309,0)),"")</f>
        <v/>
      </c>
      <c r="P191" s="73" t="str">
        <f>IF(O191="","",INDEX($C$10:$C$309,MATCH("22#8",$S$10:$S$309,0)))</f>
        <v/>
      </c>
      <c r="Q191" s="74"/>
      <c r="S191" s="60" t="str">
        <f>IF($G191="","",$G191&amp;"#"&amp;COUNTIF($G$10:$G191,$G191))</f>
        <v/>
      </c>
    </row>
    <row r="192" spans="2:19" ht="18.75" customHeight="1" x14ac:dyDescent="0.2">
      <c r="B192" s="54"/>
      <c r="C192" s="55"/>
      <c r="D192" s="55"/>
      <c r="E192" s="56"/>
      <c r="F192" s="56"/>
      <c r="G192" s="55"/>
      <c r="H192" s="57"/>
      <c r="I192" s="58" t="str">
        <f t="shared" si="2"/>
        <v/>
      </c>
      <c r="K192" s="63" t="str">
        <f>IFERROR(INDEX($B$10:$B$309,MATCH("21#9",$S$10:$S$309,0)),"")</f>
        <v/>
      </c>
      <c r="L192" s="62" t="str">
        <f>IF(K192="","",INDEX($C$10:$C$309,MATCH("21#9",$S$10:$S$309,0)))</f>
        <v/>
      </c>
      <c r="M192" s="71"/>
      <c r="N192" s="77"/>
      <c r="O192" s="63" t="str">
        <f>IFERROR(INDEX($B$10:$B$309,MATCH("22#9",$S$10:$S$309,0)),"")</f>
        <v/>
      </c>
      <c r="P192" s="62" t="str">
        <f>IF(O192="","",INDEX($C$10:$C$309,MATCH("22#9",$S$10:$S$309,0)))</f>
        <v/>
      </c>
      <c r="Q192" s="71"/>
      <c r="S192" s="60" t="str">
        <f>IF($G192="","",$G192&amp;"#"&amp;COUNTIF($G$10:$G192,$G192))</f>
        <v/>
      </c>
    </row>
    <row r="193" spans="2:19" ht="18.75" customHeight="1" x14ac:dyDescent="0.2">
      <c r="B193" s="61"/>
      <c r="C193" s="62"/>
      <c r="D193" s="62"/>
      <c r="E193" s="63"/>
      <c r="F193" s="63"/>
      <c r="G193" s="62"/>
      <c r="H193" s="64"/>
      <c r="I193" s="65" t="str">
        <f t="shared" si="2"/>
        <v/>
      </c>
      <c r="K193" s="72" t="str">
        <f>IFERROR(INDEX($B$10:$B$309,MATCH("21#10",$S$10:$S$309,0)),"")</f>
        <v/>
      </c>
      <c r="L193" s="73" t="str">
        <f>IF(K193="","",INDEX($C$10:$C$309,MATCH("21#10",$S$10:$S$309,0)))</f>
        <v/>
      </c>
      <c r="M193" s="74"/>
      <c r="N193" s="77"/>
      <c r="O193" s="72" t="str">
        <f>IFERROR(INDEX($B$10:$B$309,MATCH("22#10",$S$10:$S$309,0)),"")</f>
        <v/>
      </c>
      <c r="P193" s="73" t="str">
        <f>IF(O193="","",INDEX($C$10:$C$309,MATCH("22#10",$S$10:$S$309,0)))</f>
        <v/>
      </c>
      <c r="Q193" s="74"/>
      <c r="S193" s="60" t="str">
        <f>IF($G193="","",$G193&amp;"#"&amp;COUNTIF($G$10:$G193,$G193))</f>
        <v/>
      </c>
    </row>
    <row r="194" spans="2:19" ht="18.75" customHeight="1" x14ac:dyDescent="0.2">
      <c r="B194" s="54"/>
      <c r="C194" s="55"/>
      <c r="D194" s="55"/>
      <c r="E194" s="56"/>
      <c r="F194" s="56"/>
      <c r="G194" s="55"/>
      <c r="H194" s="57"/>
      <c r="I194" s="58" t="str">
        <f t="shared" si="2"/>
        <v/>
      </c>
      <c r="K194" s="63" t="str">
        <f>IFERROR(INDEX($B$10:$B$309,MATCH("21#11",$S$10:$S$309,0)),"")</f>
        <v/>
      </c>
      <c r="L194" s="62" t="str">
        <f>IF(K194="","",INDEX($C$10:$C$309,MATCH("21#11",$S$10:$S$309,0)))</f>
        <v/>
      </c>
      <c r="M194" s="71"/>
      <c r="N194" s="77"/>
      <c r="O194" s="63" t="str">
        <f>IFERROR(INDEX($B$10:$B$309,MATCH("22#11",$S$10:$S$309,0)),"")</f>
        <v/>
      </c>
      <c r="P194" s="62" t="str">
        <f>IF(O194="","",INDEX($C$10:$C$309,MATCH("22#11",$S$10:$S$309,0)))</f>
        <v/>
      </c>
      <c r="Q194" s="71"/>
      <c r="S194" s="60" t="str">
        <f>IF($G194="","",$G194&amp;"#"&amp;COUNTIF($G$10:$G194,$G194))</f>
        <v/>
      </c>
    </row>
    <row r="195" spans="2:19" ht="18.75" customHeight="1" x14ac:dyDescent="0.2">
      <c r="B195" s="61"/>
      <c r="C195" s="62"/>
      <c r="D195" s="62"/>
      <c r="E195" s="63"/>
      <c r="F195" s="63"/>
      <c r="G195" s="62"/>
      <c r="H195" s="64"/>
      <c r="I195" s="65" t="str">
        <f t="shared" si="2"/>
        <v/>
      </c>
      <c r="K195" s="72" t="str">
        <f>IFERROR(INDEX($B$10:$B$309,MATCH("21#12",$S$10:$S$309,0)),"")</f>
        <v/>
      </c>
      <c r="L195" s="73" t="str">
        <f>IF(K195="","",INDEX($C$10:$C$309,MATCH("21#12",$S$10:$S$309,0)))</f>
        <v/>
      </c>
      <c r="M195" s="74"/>
      <c r="N195" s="77"/>
      <c r="O195" s="72" t="str">
        <f>IFERROR(INDEX($B$10:$B$309,MATCH("22#12",$S$10:$S$309,0)),"")</f>
        <v/>
      </c>
      <c r="P195" s="73" t="str">
        <f>IF(O195="","",INDEX($C$10:$C$309,MATCH("22#12",$S$10:$S$309,0)))</f>
        <v/>
      </c>
      <c r="Q195" s="74"/>
      <c r="S195" s="60" t="str">
        <f>IF($G195="","",$G195&amp;"#"&amp;COUNTIF($G$10:$G195,$G195))</f>
        <v/>
      </c>
    </row>
    <row r="196" spans="2:19" ht="18.75" customHeight="1" x14ac:dyDescent="0.2">
      <c r="B196" s="54"/>
      <c r="C196" s="55"/>
      <c r="D196" s="55"/>
      <c r="E196" s="56"/>
      <c r="F196" s="56"/>
      <c r="G196" s="55"/>
      <c r="H196" s="57"/>
      <c r="I196" s="58" t="str">
        <f t="shared" si="2"/>
        <v/>
      </c>
      <c r="K196" s="75"/>
      <c r="L196" s="59"/>
      <c r="M196" s="59"/>
      <c r="N196" s="77"/>
      <c r="O196" s="75"/>
      <c r="P196" s="59"/>
      <c r="Q196" s="59"/>
      <c r="S196" s="60" t="str">
        <f>IF($G196="","",$G196&amp;"#"&amp;COUNTIF($G$10:$G196,$G196))</f>
        <v/>
      </c>
    </row>
    <row r="197" spans="2:19" ht="18.75" customHeight="1" x14ac:dyDescent="0.2">
      <c r="B197" s="61"/>
      <c r="C197" s="62"/>
      <c r="D197" s="62"/>
      <c r="E197" s="63"/>
      <c r="F197" s="63"/>
      <c r="G197" s="62"/>
      <c r="H197" s="64"/>
      <c r="I197" s="65" t="str">
        <f t="shared" si="2"/>
        <v/>
      </c>
      <c r="K197" s="133" t="s">
        <v>209</v>
      </c>
      <c r="L197" s="133"/>
      <c r="M197" s="133"/>
      <c r="N197" s="77"/>
      <c r="O197" s="133" t="s">
        <v>210</v>
      </c>
      <c r="P197" s="133"/>
      <c r="Q197" s="133"/>
      <c r="S197" s="60" t="str">
        <f>IF($G197="","",$G197&amp;"#"&amp;COUNTIF($G$10:$G197,$G197))</f>
        <v/>
      </c>
    </row>
    <row r="198" spans="2:19" ht="18.75" customHeight="1" x14ac:dyDescent="0.2">
      <c r="B198" s="54"/>
      <c r="C198" s="55"/>
      <c r="D198" s="55"/>
      <c r="E198" s="56"/>
      <c r="F198" s="56"/>
      <c r="G198" s="55"/>
      <c r="H198" s="57"/>
      <c r="I198" s="58" t="str">
        <f t="shared" si="2"/>
        <v/>
      </c>
      <c r="K198" s="66" t="s">
        <v>178</v>
      </c>
      <c r="L198" s="66" t="s">
        <v>160</v>
      </c>
      <c r="M198" s="66" t="s">
        <v>179</v>
      </c>
      <c r="N198" s="77"/>
      <c r="O198" s="66" t="s">
        <v>178</v>
      </c>
      <c r="P198" s="66" t="s">
        <v>160</v>
      </c>
      <c r="Q198" s="66" t="s">
        <v>179</v>
      </c>
      <c r="S198" s="60" t="str">
        <f>IF($G198="","",$G198&amp;"#"&amp;COUNTIF($G$10:$G198,$G198))</f>
        <v/>
      </c>
    </row>
    <row r="199" spans="2:19" ht="18.75" customHeight="1" x14ac:dyDescent="0.2">
      <c r="B199" s="61"/>
      <c r="C199" s="62"/>
      <c r="D199" s="62"/>
      <c r="E199" s="63"/>
      <c r="F199" s="63"/>
      <c r="G199" s="62"/>
      <c r="H199" s="64"/>
      <c r="I199" s="65" t="str">
        <f t="shared" si="2"/>
        <v/>
      </c>
      <c r="K199" s="67">
        <v>10</v>
      </c>
      <c r="L199" s="68">
        <f>SUMIF($G$10:$G$309,23,$C$10:$C$309)</f>
        <v>0</v>
      </c>
      <c r="M199" s="68">
        <f>K199-L199</f>
        <v>10</v>
      </c>
      <c r="N199" s="77"/>
      <c r="O199" s="67">
        <v>10</v>
      </c>
      <c r="P199" s="68">
        <f>SUMIF($G$10:$G$309,24,$C$10:$C$309)</f>
        <v>0</v>
      </c>
      <c r="Q199" s="68">
        <f>O199-P199</f>
        <v>10</v>
      </c>
      <c r="S199" s="60" t="str">
        <f>IF($G199="","",$G199&amp;"#"&amp;COUNTIF($G$10:$G199,$G199))</f>
        <v/>
      </c>
    </row>
    <row r="200" spans="2:19" ht="18.75" customHeight="1" x14ac:dyDescent="0.2">
      <c r="B200" s="54"/>
      <c r="C200" s="55"/>
      <c r="D200" s="55"/>
      <c r="E200" s="56"/>
      <c r="F200" s="56"/>
      <c r="G200" s="55"/>
      <c r="H200" s="57"/>
      <c r="I200" s="58" t="str">
        <f t="shared" si="2"/>
        <v/>
      </c>
      <c r="K200" s="69" t="s">
        <v>163</v>
      </c>
      <c r="L200" s="70" t="s">
        <v>185</v>
      </c>
      <c r="M200" s="70"/>
      <c r="N200" s="77"/>
      <c r="O200" s="69" t="s">
        <v>163</v>
      </c>
      <c r="P200" s="70" t="s">
        <v>185</v>
      </c>
      <c r="Q200" s="70"/>
      <c r="S200" s="60" t="str">
        <f>IF($G200="","",$G200&amp;"#"&amp;COUNTIF($G$10:$G200,$G200))</f>
        <v/>
      </c>
    </row>
    <row r="201" spans="2:19" ht="18.75" customHeight="1" x14ac:dyDescent="0.2">
      <c r="B201" s="61"/>
      <c r="C201" s="62"/>
      <c r="D201" s="62"/>
      <c r="E201" s="63"/>
      <c r="F201" s="63"/>
      <c r="G201" s="62"/>
      <c r="H201" s="64"/>
      <c r="I201" s="65" t="str">
        <f t="shared" si="2"/>
        <v/>
      </c>
      <c r="K201" s="63" t="str">
        <f>IFERROR(INDEX($B$10:$B$309,MATCH("23#1",$S$10:$S$309,0)),"")</f>
        <v/>
      </c>
      <c r="L201" s="62" t="str">
        <f>IF(K201="","",INDEX($C$10:$C$309,MATCH("23#1",$S$10:$S$309,0)))</f>
        <v/>
      </c>
      <c r="M201" s="71"/>
      <c r="N201" s="77"/>
      <c r="O201" s="63" t="str">
        <f>IFERROR(INDEX($B$10:$B$309,MATCH("24#1",$S$10:$S$309,0)),"")</f>
        <v/>
      </c>
      <c r="P201" s="62" t="str">
        <f>IF(O201="","",INDEX($C$10:$C$309,MATCH("24#1",$S$10:$S$309,0)))</f>
        <v/>
      </c>
      <c r="Q201" s="71"/>
      <c r="S201" s="60" t="str">
        <f>IF($G201="","",$G201&amp;"#"&amp;COUNTIF($G$10:$G201,$G201))</f>
        <v/>
      </c>
    </row>
    <row r="202" spans="2:19" ht="18.75" customHeight="1" x14ac:dyDescent="0.2">
      <c r="B202" s="54"/>
      <c r="C202" s="55"/>
      <c r="D202" s="55"/>
      <c r="E202" s="56"/>
      <c r="F202" s="56"/>
      <c r="G202" s="55"/>
      <c r="H202" s="57"/>
      <c r="I202" s="58" t="str">
        <f t="shared" ref="I202:I265" si="3">IF($B202="","",IF(AND($E202="Zugesagt",$G202=""),"Tisch wählen!",IF($G202&lt;&gt;"","✓","")))</f>
        <v/>
      </c>
      <c r="K202" s="72" t="str">
        <f>IFERROR(INDEX($B$10:$B$309,MATCH("23#2",$S$10:$S$309,0)),"")</f>
        <v/>
      </c>
      <c r="L202" s="73" t="str">
        <f>IF(K202="","",INDEX($C$10:$C$309,MATCH("23#2",$S$10:$S$309,0)))</f>
        <v/>
      </c>
      <c r="M202" s="74"/>
      <c r="N202" s="77"/>
      <c r="O202" s="72" t="str">
        <f>IFERROR(INDEX($B$10:$B$309,MATCH("24#2",$S$10:$S$309,0)),"")</f>
        <v/>
      </c>
      <c r="P202" s="73" t="str">
        <f>IF(O202="","",INDEX($C$10:$C$309,MATCH("24#2",$S$10:$S$309,0)))</f>
        <v/>
      </c>
      <c r="Q202" s="74"/>
      <c r="S202" s="60" t="str">
        <f>IF($G202="","",$G202&amp;"#"&amp;COUNTIF($G$10:$G202,$G202))</f>
        <v/>
      </c>
    </row>
    <row r="203" spans="2:19" ht="18.75" customHeight="1" x14ac:dyDescent="0.2">
      <c r="B203" s="61"/>
      <c r="C203" s="62"/>
      <c r="D203" s="62"/>
      <c r="E203" s="63"/>
      <c r="F203" s="63"/>
      <c r="G203" s="62"/>
      <c r="H203" s="64"/>
      <c r="I203" s="65" t="str">
        <f t="shared" si="3"/>
        <v/>
      </c>
      <c r="K203" s="63" t="str">
        <f>IFERROR(INDEX($B$10:$B$309,MATCH("23#3",$S$10:$S$309,0)),"")</f>
        <v/>
      </c>
      <c r="L203" s="62" t="str">
        <f>IF(K203="","",INDEX($C$10:$C$309,MATCH("23#3",$S$10:$S$309,0)))</f>
        <v/>
      </c>
      <c r="M203" s="71"/>
      <c r="N203" s="77"/>
      <c r="O203" s="63" t="str">
        <f>IFERROR(INDEX($B$10:$B$309,MATCH("24#3",$S$10:$S$309,0)),"")</f>
        <v/>
      </c>
      <c r="P203" s="62" t="str">
        <f>IF(O203="","",INDEX($C$10:$C$309,MATCH("24#3",$S$10:$S$309,0)))</f>
        <v/>
      </c>
      <c r="Q203" s="71"/>
      <c r="S203" s="60" t="str">
        <f>IF($G203="","",$G203&amp;"#"&amp;COUNTIF($G$10:$G203,$G203))</f>
        <v/>
      </c>
    </row>
    <row r="204" spans="2:19" ht="18.75" customHeight="1" x14ac:dyDescent="0.2">
      <c r="B204" s="54"/>
      <c r="C204" s="55"/>
      <c r="D204" s="55"/>
      <c r="E204" s="56"/>
      <c r="F204" s="56"/>
      <c r="G204" s="55"/>
      <c r="H204" s="57"/>
      <c r="I204" s="58" t="str">
        <f t="shared" si="3"/>
        <v/>
      </c>
      <c r="K204" s="72" t="str">
        <f>IFERROR(INDEX($B$10:$B$309,MATCH("23#4",$S$10:$S$309,0)),"")</f>
        <v/>
      </c>
      <c r="L204" s="73" t="str">
        <f>IF(K204="","",INDEX($C$10:$C$309,MATCH("23#4",$S$10:$S$309,0)))</f>
        <v/>
      </c>
      <c r="M204" s="74"/>
      <c r="N204" s="77"/>
      <c r="O204" s="72" t="str">
        <f>IFERROR(INDEX($B$10:$B$309,MATCH("24#4",$S$10:$S$309,0)),"")</f>
        <v/>
      </c>
      <c r="P204" s="73" t="str">
        <f>IF(O204="","",INDEX($C$10:$C$309,MATCH("24#4",$S$10:$S$309,0)))</f>
        <v/>
      </c>
      <c r="Q204" s="74"/>
      <c r="S204" s="60" t="str">
        <f>IF($G204="","",$G204&amp;"#"&amp;COUNTIF($G$10:$G204,$G204))</f>
        <v/>
      </c>
    </row>
    <row r="205" spans="2:19" ht="18.75" customHeight="1" x14ac:dyDescent="0.2">
      <c r="B205" s="61"/>
      <c r="C205" s="62"/>
      <c r="D205" s="62"/>
      <c r="E205" s="63"/>
      <c r="F205" s="63"/>
      <c r="G205" s="62"/>
      <c r="H205" s="64"/>
      <c r="I205" s="65" t="str">
        <f t="shared" si="3"/>
        <v/>
      </c>
      <c r="K205" s="63" t="str">
        <f>IFERROR(INDEX($B$10:$B$309,MATCH("23#5",$S$10:$S$309,0)),"")</f>
        <v/>
      </c>
      <c r="L205" s="62" t="str">
        <f>IF(K205="","",INDEX($C$10:$C$309,MATCH("23#5",$S$10:$S$309,0)))</f>
        <v/>
      </c>
      <c r="M205" s="71"/>
      <c r="N205" s="77"/>
      <c r="O205" s="63" t="str">
        <f>IFERROR(INDEX($B$10:$B$309,MATCH("24#5",$S$10:$S$309,0)),"")</f>
        <v/>
      </c>
      <c r="P205" s="62" t="str">
        <f>IF(O205="","",INDEX($C$10:$C$309,MATCH("24#5",$S$10:$S$309,0)))</f>
        <v/>
      </c>
      <c r="Q205" s="71"/>
      <c r="S205" s="60" t="str">
        <f>IF($G205="","",$G205&amp;"#"&amp;COUNTIF($G$10:$G205,$G205))</f>
        <v/>
      </c>
    </row>
    <row r="206" spans="2:19" ht="18.75" customHeight="1" x14ac:dyDescent="0.2">
      <c r="B206" s="54"/>
      <c r="C206" s="55"/>
      <c r="D206" s="55"/>
      <c r="E206" s="56"/>
      <c r="F206" s="56"/>
      <c r="G206" s="55"/>
      <c r="H206" s="57"/>
      <c r="I206" s="58" t="str">
        <f t="shared" si="3"/>
        <v/>
      </c>
      <c r="K206" s="72" t="str">
        <f>IFERROR(INDEX($B$10:$B$309,MATCH("23#6",$S$10:$S$309,0)),"")</f>
        <v/>
      </c>
      <c r="L206" s="73" t="str">
        <f>IF(K206="","",INDEX($C$10:$C$309,MATCH("23#6",$S$10:$S$309,0)))</f>
        <v/>
      </c>
      <c r="M206" s="74"/>
      <c r="N206" s="77"/>
      <c r="O206" s="72" t="str">
        <f>IFERROR(INDEX($B$10:$B$309,MATCH("24#6",$S$10:$S$309,0)),"")</f>
        <v/>
      </c>
      <c r="P206" s="73" t="str">
        <f>IF(O206="","",INDEX($C$10:$C$309,MATCH("24#6",$S$10:$S$309,0)))</f>
        <v/>
      </c>
      <c r="Q206" s="74"/>
      <c r="S206" s="60" t="str">
        <f>IF($G206="","",$G206&amp;"#"&amp;COUNTIF($G$10:$G206,$G206))</f>
        <v/>
      </c>
    </row>
    <row r="207" spans="2:19" ht="18.75" customHeight="1" x14ac:dyDescent="0.2">
      <c r="B207" s="61"/>
      <c r="C207" s="62"/>
      <c r="D207" s="62"/>
      <c r="E207" s="63"/>
      <c r="F207" s="63"/>
      <c r="G207" s="62"/>
      <c r="H207" s="64"/>
      <c r="I207" s="65" t="str">
        <f t="shared" si="3"/>
        <v/>
      </c>
      <c r="K207" s="63" t="str">
        <f>IFERROR(INDEX($B$10:$B$309,MATCH("23#7",$S$10:$S$309,0)),"")</f>
        <v/>
      </c>
      <c r="L207" s="62" t="str">
        <f>IF(K207="","",INDEX($C$10:$C$309,MATCH("23#7",$S$10:$S$309,0)))</f>
        <v/>
      </c>
      <c r="M207" s="71"/>
      <c r="N207" s="77"/>
      <c r="O207" s="63" t="str">
        <f>IFERROR(INDEX($B$10:$B$309,MATCH("24#7",$S$10:$S$309,0)),"")</f>
        <v/>
      </c>
      <c r="P207" s="62" t="str">
        <f>IF(O207="","",INDEX($C$10:$C$309,MATCH("24#7",$S$10:$S$309,0)))</f>
        <v/>
      </c>
      <c r="Q207" s="71"/>
      <c r="S207" s="60" t="str">
        <f>IF($G207="","",$G207&amp;"#"&amp;COUNTIF($G$10:$G207,$G207))</f>
        <v/>
      </c>
    </row>
    <row r="208" spans="2:19" ht="18.75" customHeight="1" x14ac:dyDescent="0.2">
      <c r="B208" s="54"/>
      <c r="C208" s="55"/>
      <c r="D208" s="55"/>
      <c r="E208" s="56"/>
      <c r="F208" s="56"/>
      <c r="G208" s="55"/>
      <c r="H208" s="57"/>
      <c r="I208" s="58" t="str">
        <f t="shared" si="3"/>
        <v/>
      </c>
      <c r="K208" s="72" t="str">
        <f>IFERROR(INDEX($B$10:$B$309,MATCH("23#8",$S$10:$S$309,0)),"")</f>
        <v/>
      </c>
      <c r="L208" s="73" t="str">
        <f>IF(K208="","",INDEX($C$10:$C$309,MATCH("23#8",$S$10:$S$309,0)))</f>
        <v/>
      </c>
      <c r="M208" s="74"/>
      <c r="N208" s="77"/>
      <c r="O208" s="72" t="str">
        <f>IFERROR(INDEX($B$10:$B$309,MATCH("24#8",$S$10:$S$309,0)),"")</f>
        <v/>
      </c>
      <c r="P208" s="73" t="str">
        <f>IF(O208="","",INDEX($C$10:$C$309,MATCH("24#8",$S$10:$S$309,0)))</f>
        <v/>
      </c>
      <c r="Q208" s="74"/>
      <c r="S208" s="60" t="str">
        <f>IF($G208="","",$G208&amp;"#"&amp;COUNTIF($G$10:$G208,$G208))</f>
        <v/>
      </c>
    </row>
    <row r="209" spans="2:19" ht="18.75" customHeight="1" x14ac:dyDescent="0.2">
      <c r="B209" s="61"/>
      <c r="C209" s="62"/>
      <c r="D209" s="62"/>
      <c r="E209" s="63"/>
      <c r="F209" s="63"/>
      <c r="G209" s="62"/>
      <c r="H209" s="64"/>
      <c r="I209" s="65" t="str">
        <f t="shared" si="3"/>
        <v/>
      </c>
      <c r="K209" s="63" t="str">
        <f>IFERROR(INDEX($B$10:$B$309,MATCH("23#9",$S$10:$S$309,0)),"")</f>
        <v/>
      </c>
      <c r="L209" s="62" t="str">
        <f>IF(K209="","",INDEX($C$10:$C$309,MATCH("23#9",$S$10:$S$309,0)))</f>
        <v/>
      </c>
      <c r="M209" s="71"/>
      <c r="N209" s="77"/>
      <c r="O209" s="63" t="str">
        <f>IFERROR(INDEX($B$10:$B$309,MATCH("24#9",$S$10:$S$309,0)),"")</f>
        <v/>
      </c>
      <c r="P209" s="62" t="str">
        <f>IF(O209="","",INDEX($C$10:$C$309,MATCH("24#9",$S$10:$S$309,0)))</f>
        <v/>
      </c>
      <c r="Q209" s="71"/>
      <c r="S209" s="60" t="str">
        <f>IF($G209="","",$G209&amp;"#"&amp;COUNTIF($G$10:$G209,$G209))</f>
        <v/>
      </c>
    </row>
    <row r="210" spans="2:19" ht="18.75" customHeight="1" x14ac:dyDescent="0.2">
      <c r="B210" s="54"/>
      <c r="C210" s="55"/>
      <c r="D210" s="55"/>
      <c r="E210" s="56"/>
      <c r="F210" s="56"/>
      <c r="G210" s="55"/>
      <c r="H210" s="57"/>
      <c r="I210" s="58" t="str">
        <f t="shared" si="3"/>
        <v/>
      </c>
      <c r="K210" s="72" t="str">
        <f>IFERROR(INDEX($B$10:$B$309,MATCH("23#10",$S$10:$S$309,0)),"")</f>
        <v/>
      </c>
      <c r="L210" s="73" t="str">
        <f>IF(K210="","",INDEX($C$10:$C$309,MATCH("23#10",$S$10:$S$309,0)))</f>
        <v/>
      </c>
      <c r="M210" s="74"/>
      <c r="N210" s="77"/>
      <c r="O210" s="72" t="str">
        <f>IFERROR(INDEX($B$10:$B$309,MATCH("24#10",$S$10:$S$309,0)),"")</f>
        <v/>
      </c>
      <c r="P210" s="73" t="str">
        <f>IF(O210="","",INDEX($C$10:$C$309,MATCH("24#10",$S$10:$S$309,0)))</f>
        <v/>
      </c>
      <c r="Q210" s="74"/>
      <c r="S210" s="60" t="str">
        <f>IF($G210="","",$G210&amp;"#"&amp;COUNTIF($G$10:$G210,$G210))</f>
        <v/>
      </c>
    </row>
    <row r="211" spans="2:19" ht="18.75" customHeight="1" x14ac:dyDescent="0.2">
      <c r="B211" s="61"/>
      <c r="C211" s="62"/>
      <c r="D211" s="62"/>
      <c r="E211" s="63"/>
      <c r="F211" s="63"/>
      <c r="G211" s="62"/>
      <c r="H211" s="64"/>
      <c r="I211" s="65" t="str">
        <f t="shared" si="3"/>
        <v/>
      </c>
      <c r="K211" s="63" t="str">
        <f>IFERROR(INDEX($B$10:$B$309,MATCH("23#11",$S$10:$S$309,0)),"")</f>
        <v/>
      </c>
      <c r="L211" s="62" t="str">
        <f>IF(K211="","",INDEX($C$10:$C$309,MATCH("23#11",$S$10:$S$309,0)))</f>
        <v/>
      </c>
      <c r="M211" s="71"/>
      <c r="N211" s="77"/>
      <c r="O211" s="63" t="str">
        <f>IFERROR(INDEX($B$10:$B$309,MATCH("24#11",$S$10:$S$309,0)),"")</f>
        <v/>
      </c>
      <c r="P211" s="62" t="str">
        <f>IF(O211="","",INDEX($C$10:$C$309,MATCH("24#11",$S$10:$S$309,0)))</f>
        <v/>
      </c>
      <c r="Q211" s="71"/>
      <c r="S211" s="60" t="str">
        <f>IF($G211="","",$G211&amp;"#"&amp;COUNTIF($G$10:$G211,$G211))</f>
        <v/>
      </c>
    </row>
    <row r="212" spans="2:19" ht="18.75" customHeight="1" x14ac:dyDescent="0.2">
      <c r="B212" s="54"/>
      <c r="C212" s="55"/>
      <c r="D212" s="55"/>
      <c r="E212" s="56"/>
      <c r="F212" s="56"/>
      <c r="G212" s="55"/>
      <c r="H212" s="57"/>
      <c r="I212" s="58" t="str">
        <f t="shared" si="3"/>
        <v/>
      </c>
      <c r="K212" s="72" t="str">
        <f>IFERROR(INDEX($B$10:$B$309,MATCH("23#12",$S$10:$S$309,0)),"")</f>
        <v/>
      </c>
      <c r="L212" s="73" t="str">
        <f>IF(K212="","",INDEX($C$10:$C$309,MATCH("23#12",$S$10:$S$309,0)))</f>
        <v/>
      </c>
      <c r="M212" s="74"/>
      <c r="N212" s="77"/>
      <c r="O212" s="72" t="str">
        <f>IFERROR(INDEX($B$10:$B$309,MATCH("24#12",$S$10:$S$309,0)),"")</f>
        <v/>
      </c>
      <c r="P212" s="73" t="str">
        <f>IF(O212="","",INDEX($C$10:$C$309,MATCH("24#12",$S$10:$S$309,0)))</f>
        <v/>
      </c>
      <c r="Q212" s="74"/>
      <c r="S212" s="60" t="str">
        <f>IF($G212="","",$G212&amp;"#"&amp;COUNTIF($G$10:$G212,$G212))</f>
        <v/>
      </c>
    </row>
    <row r="213" spans="2:19" ht="18.75" customHeight="1" x14ac:dyDescent="0.2">
      <c r="B213" s="61"/>
      <c r="C213" s="62"/>
      <c r="D213" s="62"/>
      <c r="E213" s="63"/>
      <c r="F213" s="63"/>
      <c r="G213" s="62"/>
      <c r="H213" s="64"/>
      <c r="I213" s="65" t="str">
        <f t="shared" si="3"/>
        <v/>
      </c>
      <c r="K213" s="75"/>
      <c r="L213" s="59"/>
      <c r="M213" s="59"/>
      <c r="N213" s="77"/>
      <c r="O213" s="75"/>
      <c r="P213" s="59"/>
      <c r="Q213" s="59"/>
      <c r="S213" s="60" t="str">
        <f>IF($G213="","",$G213&amp;"#"&amp;COUNTIF($G$10:$G213,$G213))</f>
        <v/>
      </c>
    </row>
    <row r="214" spans="2:19" ht="18.75" customHeight="1" x14ac:dyDescent="0.2">
      <c r="B214" s="54"/>
      <c r="C214" s="55"/>
      <c r="D214" s="55"/>
      <c r="E214" s="56"/>
      <c r="F214" s="56"/>
      <c r="G214" s="55"/>
      <c r="H214" s="57"/>
      <c r="I214" s="58" t="str">
        <f t="shared" si="3"/>
        <v/>
      </c>
      <c r="K214" s="133" t="s">
        <v>211</v>
      </c>
      <c r="L214" s="133"/>
      <c r="M214" s="133"/>
      <c r="N214" s="77"/>
      <c r="O214" s="133" t="s">
        <v>212</v>
      </c>
      <c r="P214" s="133"/>
      <c r="Q214" s="133"/>
      <c r="S214" s="60" t="str">
        <f>IF($G214="","",$G214&amp;"#"&amp;COUNTIF($G$10:$G214,$G214))</f>
        <v/>
      </c>
    </row>
    <row r="215" spans="2:19" ht="18.75" customHeight="1" x14ac:dyDescent="0.2">
      <c r="B215" s="61"/>
      <c r="C215" s="62"/>
      <c r="D215" s="62"/>
      <c r="E215" s="63"/>
      <c r="F215" s="63"/>
      <c r="G215" s="62"/>
      <c r="H215" s="64"/>
      <c r="I215" s="65" t="str">
        <f t="shared" si="3"/>
        <v/>
      </c>
      <c r="K215" s="66" t="s">
        <v>178</v>
      </c>
      <c r="L215" s="66" t="s">
        <v>160</v>
      </c>
      <c r="M215" s="66" t="s">
        <v>179</v>
      </c>
      <c r="N215" s="77"/>
      <c r="O215" s="66" t="s">
        <v>178</v>
      </c>
      <c r="P215" s="66" t="s">
        <v>160</v>
      </c>
      <c r="Q215" s="66" t="s">
        <v>179</v>
      </c>
      <c r="S215" s="60" t="str">
        <f>IF($G215="","",$G215&amp;"#"&amp;COUNTIF($G$10:$G215,$G215))</f>
        <v/>
      </c>
    </row>
    <row r="216" spans="2:19" ht="18.75" customHeight="1" x14ac:dyDescent="0.2">
      <c r="B216" s="54"/>
      <c r="C216" s="55"/>
      <c r="D216" s="55"/>
      <c r="E216" s="56"/>
      <c r="F216" s="56"/>
      <c r="G216" s="55"/>
      <c r="H216" s="57"/>
      <c r="I216" s="58" t="str">
        <f t="shared" si="3"/>
        <v/>
      </c>
      <c r="K216" s="67">
        <v>10</v>
      </c>
      <c r="L216" s="68">
        <f>SUMIF($G$10:$G$309,25,$C$10:$C$309)</f>
        <v>0</v>
      </c>
      <c r="M216" s="68">
        <f>K216-L216</f>
        <v>10</v>
      </c>
      <c r="N216" s="77"/>
      <c r="O216" s="67">
        <v>10</v>
      </c>
      <c r="P216" s="68">
        <f>SUMIF($G$10:$G$309,26,$C$10:$C$309)</f>
        <v>0</v>
      </c>
      <c r="Q216" s="68">
        <f>O216-P216</f>
        <v>10</v>
      </c>
      <c r="S216" s="60" t="str">
        <f>IF($G216="","",$G216&amp;"#"&amp;COUNTIF($G$10:$G216,$G216))</f>
        <v/>
      </c>
    </row>
    <row r="217" spans="2:19" ht="18.75" customHeight="1" x14ac:dyDescent="0.2">
      <c r="B217" s="61"/>
      <c r="C217" s="62"/>
      <c r="D217" s="62"/>
      <c r="E217" s="63"/>
      <c r="F217" s="63"/>
      <c r="G217" s="62"/>
      <c r="H217" s="64"/>
      <c r="I217" s="65" t="str">
        <f t="shared" si="3"/>
        <v/>
      </c>
      <c r="K217" s="69" t="s">
        <v>163</v>
      </c>
      <c r="L217" s="70" t="s">
        <v>185</v>
      </c>
      <c r="M217" s="70"/>
      <c r="N217" s="77"/>
      <c r="O217" s="69" t="s">
        <v>163</v>
      </c>
      <c r="P217" s="70" t="s">
        <v>185</v>
      </c>
      <c r="Q217" s="70"/>
      <c r="S217" s="60" t="str">
        <f>IF($G217="","",$G217&amp;"#"&amp;COUNTIF($G$10:$G217,$G217))</f>
        <v/>
      </c>
    </row>
    <row r="218" spans="2:19" ht="18.75" customHeight="1" x14ac:dyDescent="0.2">
      <c r="B218" s="54"/>
      <c r="C218" s="55"/>
      <c r="D218" s="55"/>
      <c r="E218" s="56"/>
      <c r="F218" s="56"/>
      <c r="G218" s="55"/>
      <c r="H218" s="57"/>
      <c r="I218" s="58" t="str">
        <f t="shared" si="3"/>
        <v/>
      </c>
      <c r="K218" s="63" t="str">
        <f>IFERROR(INDEX($B$10:$B$309,MATCH("25#1",$S$10:$S$309,0)),"")</f>
        <v/>
      </c>
      <c r="L218" s="62" t="str">
        <f>IF(K218="","",INDEX($C$10:$C$309,MATCH("25#1",$S$10:$S$309,0)))</f>
        <v/>
      </c>
      <c r="M218" s="71"/>
      <c r="N218" s="77"/>
      <c r="O218" s="63" t="str">
        <f>IFERROR(INDEX($B$10:$B$309,MATCH("26#1",$S$10:$S$309,0)),"")</f>
        <v/>
      </c>
      <c r="P218" s="62" t="str">
        <f>IF(O218="","",INDEX($C$10:$C$309,MATCH("26#1",$S$10:$S$309,0)))</f>
        <v/>
      </c>
      <c r="Q218" s="71"/>
      <c r="S218" s="60" t="str">
        <f>IF($G218="","",$G218&amp;"#"&amp;COUNTIF($G$10:$G218,$G218))</f>
        <v/>
      </c>
    </row>
    <row r="219" spans="2:19" ht="18.75" customHeight="1" x14ac:dyDescent="0.2">
      <c r="B219" s="61"/>
      <c r="C219" s="62"/>
      <c r="D219" s="62"/>
      <c r="E219" s="63"/>
      <c r="F219" s="63"/>
      <c r="G219" s="62"/>
      <c r="H219" s="64"/>
      <c r="I219" s="65" t="str">
        <f t="shared" si="3"/>
        <v/>
      </c>
      <c r="K219" s="72" t="str">
        <f>IFERROR(INDEX($B$10:$B$309,MATCH("25#2",$S$10:$S$309,0)),"")</f>
        <v/>
      </c>
      <c r="L219" s="73" t="str">
        <f>IF(K219="","",INDEX($C$10:$C$309,MATCH("25#2",$S$10:$S$309,0)))</f>
        <v/>
      </c>
      <c r="M219" s="74"/>
      <c r="N219" s="77"/>
      <c r="O219" s="72" t="str">
        <f>IFERROR(INDEX($B$10:$B$309,MATCH("26#2",$S$10:$S$309,0)),"")</f>
        <v/>
      </c>
      <c r="P219" s="73" t="str">
        <f>IF(O219="","",INDEX($C$10:$C$309,MATCH("26#2",$S$10:$S$309,0)))</f>
        <v/>
      </c>
      <c r="Q219" s="74"/>
      <c r="S219" s="60" t="str">
        <f>IF($G219="","",$G219&amp;"#"&amp;COUNTIF($G$10:$G219,$G219))</f>
        <v/>
      </c>
    </row>
    <row r="220" spans="2:19" ht="18.75" customHeight="1" x14ac:dyDescent="0.2">
      <c r="B220" s="54"/>
      <c r="C220" s="55"/>
      <c r="D220" s="55"/>
      <c r="E220" s="56"/>
      <c r="F220" s="56"/>
      <c r="G220" s="55"/>
      <c r="H220" s="57"/>
      <c r="I220" s="58" t="str">
        <f t="shared" si="3"/>
        <v/>
      </c>
      <c r="K220" s="63" t="str">
        <f>IFERROR(INDEX($B$10:$B$309,MATCH("25#3",$S$10:$S$309,0)),"")</f>
        <v/>
      </c>
      <c r="L220" s="62" t="str">
        <f>IF(K220="","",INDEX($C$10:$C$309,MATCH("25#3",$S$10:$S$309,0)))</f>
        <v/>
      </c>
      <c r="M220" s="71"/>
      <c r="N220" s="77"/>
      <c r="O220" s="63" t="str">
        <f>IFERROR(INDEX($B$10:$B$309,MATCH("26#3",$S$10:$S$309,0)),"")</f>
        <v/>
      </c>
      <c r="P220" s="62" t="str">
        <f>IF(O220="","",INDEX($C$10:$C$309,MATCH("26#3",$S$10:$S$309,0)))</f>
        <v/>
      </c>
      <c r="Q220" s="71"/>
      <c r="S220" s="60" t="str">
        <f>IF($G220="","",$G220&amp;"#"&amp;COUNTIF($G$10:$G220,$G220))</f>
        <v/>
      </c>
    </row>
    <row r="221" spans="2:19" ht="18.75" customHeight="1" x14ac:dyDescent="0.2">
      <c r="B221" s="61"/>
      <c r="C221" s="62"/>
      <c r="D221" s="62"/>
      <c r="E221" s="63"/>
      <c r="F221" s="63"/>
      <c r="G221" s="62"/>
      <c r="H221" s="64"/>
      <c r="I221" s="65" t="str">
        <f t="shared" si="3"/>
        <v/>
      </c>
      <c r="K221" s="72" t="str">
        <f>IFERROR(INDEX($B$10:$B$309,MATCH("25#4",$S$10:$S$309,0)),"")</f>
        <v/>
      </c>
      <c r="L221" s="73" t="str">
        <f>IF(K221="","",INDEX($C$10:$C$309,MATCH("25#4",$S$10:$S$309,0)))</f>
        <v/>
      </c>
      <c r="M221" s="74"/>
      <c r="N221" s="77"/>
      <c r="O221" s="72" t="str">
        <f>IFERROR(INDEX($B$10:$B$309,MATCH("26#4",$S$10:$S$309,0)),"")</f>
        <v/>
      </c>
      <c r="P221" s="73" t="str">
        <f>IF(O221="","",INDEX($C$10:$C$309,MATCH("26#4",$S$10:$S$309,0)))</f>
        <v/>
      </c>
      <c r="Q221" s="74"/>
      <c r="S221" s="60" t="str">
        <f>IF($G221="","",$G221&amp;"#"&amp;COUNTIF($G$10:$G221,$G221))</f>
        <v/>
      </c>
    </row>
    <row r="222" spans="2:19" ht="18.75" customHeight="1" x14ac:dyDescent="0.2">
      <c r="B222" s="54"/>
      <c r="C222" s="55"/>
      <c r="D222" s="55"/>
      <c r="E222" s="56"/>
      <c r="F222" s="56"/>
      <c r="G222" s="55"/>
      <c r="H222" s="57"/>
      <c r="I222" s="58" t="str">
        <f t="shared" si="3"/>
        <v/>
      </c>
      <c r="K222" s="63" t="str">
        <f>IFERROR(INDEX($B$10:$B$309,MATCH("25#5",$S$10:$S$309,0)),"")</f>
        <v/>
      </c>
      <c r="L222" s="62" t="str">
        <f>IF(K222="","",INDEX($C$10:$C$309,MATCH("25#5",$S$10:$S$309,0)))</f>
        <v/>
      </c>
      <c r="M222" s="71"/>
      <c r="N222" s="77"/>
      <c r="O222" s="63" t="str">
        <f>IFERROR(INDEX($B$10:$B$309,MATCH("26#5",$S$10:$S$309,0)),"")</f>
        <v/>
      </c>
      <c r="P222" s="62" t="str">
        <f>IF(O222="","",INDEX($C$10:$C$309,MATCH("26#5",$S$10:$S$309,0)))</f>
        <v/>
      </c>
      <c r="Q222" s="71"/>
      <c r="S222" s="60" t="str">
        <f>IF($G222="","",$G222&amp;"#"&amp;COUNTIF($G$10:$G222,$G222))</f>
        <v/>
      </c>
    </row>
    <row r="223" spans="2:19" ht="18.75" customHeight="1" x14ac:dyDescent="0.2">
      <c r="B223" s="61"/>
      <c r="C223" s="62"/>
      <c r="D223" s="62"/>
      <c r="E223" s="63"/>
      <c r="F223" s="63"/>
      <c r="G223" s="62"/>
      <c r="H223" s="64"/>
      <c r="I223" s="65" t="str">
        <f t="shared" si="3"/>
        <v/>
      </c>
      <c r="K223" s="72" t="str">
        <f>IFERROR(INDEX($B$10:$B$309,MATCH("25#6",$S$10:$S$309,0)),"")</f>
        <v/>
      </c>
      <c r="L223" s="73" t="str">
        <f>IF(K223="","",INDEX($C$10:$C$309,MATCH("25#6",$S$10:$S$309,0)))</f>
        <v/>
      </c>
      <c r="M223" s="74"/>
      <c r="N223" s="77"/>
      <c r="O223" s="72" t="str">
        <f>IFERROR(INDEX($B$10:$B$309,MATCH("26#6",$S$10:$S$309,0)),"")</f>
        <v/>
      </c>
      <c r="P223" s="73" t="str">
        <f>IF(O223="","",INDEX($C$10:$C$309,MATCH("26#6",$S$10:$S$309,0)))</f>
        <v/>
      </c>
      <c r="Q223" s="74"/>
      <c r="S223" s="60" t="str">
        <f>IF($G223="","",$G223&amp;"#"&amp;COUNTIF($G$10:$G223,$G223))</f>
        <v/>
      </c>
    </row>
    <row r="224" spans="2:19" ht="18.75" customHeight="1" x14ac:dyDescent="0.2">
      <c r="B224" s="54"/>
      <c r="C224" s="55"/>
      <c r="D224" s="55"/>
      <c r="E224" s="56"/>
      <c r="F224" s="56"/>
      <c r="G224" s="55"/>
      <c r="H224" s="57"/>
      <c r="I224" s="58" t="str">
        <f t="shared" si="3"/>
        <v/>
      </c>
      <c r="K224" s="63" t="str">
        <f>IFERROR(INDEX($B$10:$B$309,MATCH("25#7",$S$10:$S$309,0)),"")</f>
        <v/>
      </c>
      <c r="L224" s="62" t="str">
        <f>IF(K224="","",INDEX($C$10:$C$309,MATCH("25#7",$S$10:$S$309,0)))</f>
        <v/>
      </c>
      <c r="M224" s="71"/>
      <c r="N224" s="77"/>
      <c r="O224" s="63" t="str">
        <f>IFERROR(INDEX($B$10:$B$309,MATCH("26#7",$S$10:$S$309,0)),"")</f>
        <v/>
      </c>
      <c r="P224" s="62" t="str">
        <f>IF(O224="","",INDEX($C$10:$C$309,MATCH("26#7",$S$10:$S$309,0)))</f>
        <v/>
      </c>
      <c r="Q224" s="71"/>
      <c r="S224" s="60" t="str">
        <f>IF($G224="","",$G224&amp;"#"&amp;COUNTIF($G$10:$G224,$G224))</f>
        <v/>
      </c>
    </row>
    <row r="225" spans="2:19" ht="18.75" customHeight="1" x14ac:dyDescent="0.2">
      <c r="B225" s="61"/>
      <c r="C225" s="62"/>
      <c r="D225" s="62"/>
      <c r="E225" s="63"/>
      <c r="F225" s="63"/>
      <c r="G225" s="62"/>
      <c r="H225" s="64"/>
      <c r="I225" s="65" t="str">
        <f t="shared" si="3"/>
        <v/>
      </c>
      <c r="K225" s="72" t="str">
        <f>IFERROR(INDEX($B$10:$B$309,MATCH("25#8",$S$10:$S$309,0)),"")</f>
        <v/>
      </c>
      <c r="L225" s="73" t="str">
        <f>IF(K225="","",INDEX($C$10:$C$309,MATCH("25#8",$S$10:$S$309,0)))</f>
        <v/>
      </c>
      <c r="M225" s="74"/>
      <c r="N225" s="77"/>
      <c r="O225" s="72" t="str">
        <f>IFERROR(INDEX($B$10:$B$309,MATCH("26#8",$S$10:$S$309,0)),"")</f>
        <v/>
      </c>
      <c r="P225" s="73" t="str">
        <f>IF(O225="","",INDEX($C$10:$C$309,MATCH("26#8",$S$10:$S$309,0)))</f>
        <v/>
      </c>
      <c r="Q225" s="74"/>
      <c r="S225" s="60" t="str">
        <f>IF($G225="","",$G225&amp;"#"&amp;COUNTIF($G$10:$G225,$G225))</f>
        <v/>
      </c>
    </row>
    <row r="226" spans="2:19" ht="18.75" customHeight="1" x14ac:dyDescent="0.2">
      <c r="B226" s="54"/>
      <c r="C226" s="55"/>
      <c r="D226" s="55"/>
      <c r="E226" s="56"/>
      <c r="F226" s="56"/>
      <c r="G226" s="55"/>
      <c r="H226" s="57"/>
      <c r="I226" s="58" t="str">
        <f t="shared" si="3"/>
        <v/>
      </c>
      <c r="K226" s="63" t="str">
        <f>IFERROR(INDEX($B$10:$B$309,MATCH("25#9",$S$10:$S$309,0)),"")</f>
        <v/>
      </c>
      <c r="L226" s="62" t="str">
        <f>IF(K226="","",INDEX($C$10:$C$309,MATCH("25#9",$S$10:$S$309,0)))</f>
        <v/>
      </c>
      <c r="M226" s="71"/>
      <c r="N226" s="77"/>
      <c r="O226" s="63" t="str">
        <f>IFERROR(INDEX($B$10:$B$309,MATCH("26#9",$S$10:$S$309,0)),"")</f>
        <v/>
      </c>
      <c r="P226" s="62" t="str">
        <f>IF(O226="","",INDEX($C$10:$C$309,MATCH("26#9",$S$10:$S$309,0)))</f>
        <v/>
      </c>
      <c r="Q226" s="71"/>
      <c r="S226" s="60" t="str">
        <f>IF($G226="","",$G226&amp;"#"&amp;COUNTIF($G$10:$G226,$G226))</f>
        <v/>
      </c>
    </row>
    <row r="227" spans="2:19" ht="18.75" customHeight="1" x14ac:dyDescent="0.2">
      <c r="B227" s="61"/>
      <c r="C227" s="62"/>
      <c r="D227" s="62"/>
      <c r="E227" s="63"/>
      <c r="F227" s="63"/>
      <c r="G227" s="62"/>
      <c r="H227" s="64"/>
      <c r="I227" s="65" t="str">
        <f t="shared" si="3"/>
        <v/>
      </c>
      <c r="K227" s="72" t="str">
        <f>IFERROR(INDEX($B$10:$B$309,MATCH("25#10",$S$10:$S$309,0)),"")</f>
        <v/>
      </c>
      <c r="L227" s="73" t="str">
        <f>IF(K227="","",INDEX($C$10:$C$309,MATCH("25#10",$S$10:$S$309,0)))</f>
        <v/>
      </c>
      <c r="M227" s="74"/>
      <c r="N227" s="77"/>
      <c r="O227" s="72" t="str">
        <f>IFERROR(INDEX($B$10:$B$309,MATCH("26#10",$S$10:$S$309,0)),"")</f>
        <v/>
      </c>
      <c r="P227" s="73" t="str">
        <f>IF(O227="","",INDEX($C$10:$C$309,MATCH("26#10",$S$10:$S$309,0)))</f>
        <v/>
      </c>
      <c r="Q227" s="74"/>
      <c r="S227" s="60" t="str">
        <f>IF($G227="","",$G227&amp;"#"&amp;COUNTIF($G$10:$G227,$G227))</f>
        <v/>
      </c>
    </row>
    <row r="228" spans="2:19" ht="18.75" customHeight="1" x14ac:dyDescent="0.2">
      <c r="B228" s="54"/>
      <c r="C228" s="55"/>
      <c r="D228" s="55"/>
      <c r="E228" s="56"/>
      <c r="F228" s="56"/>
      <c r="G228" s="55"/>
      <c r="H228" s="57"/>
      <c r="I228" s="58" t="str">
        <f t="shared" si="3"/>
        <v/>
      </c>
      <c r="K228" s="63" t="str">
        <f>IFERROR(INDEX($B$10:$B$309,MATCH("25#11",$S$10:$S$309,0)),"")</f>
        <v/>
      </c>
      <c r="L228" s="62" t="str">
        <f>IF(K228="","",INDEX($C$10:$C$309,MATCH("25#11",$S$10:$S$309,0)))</f>
        <v/>
      </c>
      <c r="M228" s="71"/>
      <c r="N228" s="77"/>
      <c r="O228" s="63" t="str">
        <f>IFERROR(INDEX($B$10:$B$309,MATCH("26#11",$S$10:$S$309,0)),"")</f>
        <v/>
      </c>
      <c r="P228" s="62" t="str">
        <f>IF(O228="","",INDEX($C$10:$C$309,MATCH("26#11",$S$10:$S$309,0)))</f>
        <v/>
      </c>
      <c r="Q228" s="71"/>
      <c r="S228" s="60" t="str">
        <f>IF($G228="","",$G228&amp;"#"&amp;COUNTIF($G$10:$G228,$G228))</f>
        <v/>
      </c>
    </row>
    <row r="229" spans="2:19" ht="18.75" customHeight="1" x14ac:dyDescent="0.2">
      <c r="B229" s="61"/>
      <c r="C229" s="62"/>
      <c r="D229" s="62"/>
      <c r="E229" s="63"/>
      <c r="F229" s="63"/>
      <c r="G229" s="62"/>
      <c r="H229" s="64"/>
      <c r="I229" s="65" t="str">
        <f t="shared" si="3"/>
        <v/>
      </c>
      <c r="K229" s="72" t="str">
        <f>IFERROR(INDEX($B$10:$B$309,MATCH("25#12",$S$10:$S$309,0)),"")</f>
        <v/>
      </c>
      <c r="L229" s="73" t="str">
        <f>IF(K229="","",INDEX($C$10:$C$309,MATCH("25#12",$S$10:$S$309,0)))</f>
        <v/>
      </c>
      <c r="M229" s="74"/>
      <c r="N229" s="77"/>
      <c r="O229" s="72" t="str">
        <f>IFERROR(INDEX($B$10:$B$309,MATCH("26#12",$S$10:$S$309,0)),"")</f>
        <v/>
      </c>
      <c r="P229" s="73" t="str">
        <f>IF(O229="","",INDEX($C$10:$C$309,MATCH("26#12",$S$10:$S$309,0)))</f>
        <v/>
      </c>
      <c r="Q229" s="74"/>
      <c r="S229" s="60" t="str">
        <f>IF($G229="","",$G229&amp;"#"&amp;COUNTIF($G$10:$G229,$G229))</f>
        <v/>
      </c>
    </row>
    <row r="230" spans="2:19" ht="18.75" customHeight="1" x14ac:dyDescent="0.2">
      <c r="B230" s="54"/>
      <c r="C230" s="55"/>
      <c r="D230" s="55"/>
      <c r="E230" s="56"/>
      <c r="F230" s="56"/>
      <c r="G230" s="55"/>
      <c r="H230" s="57"/>
      <c r="I230" s="58" t="str">
        <f t="shared" si="3"/>
        <v/>
      </c>
      <c r="K230" s="75"/>
      <c r="L230" s="59"/>
      <c r="M230" s="59"/>
      <c r="N230" s="77"/>
      <c r="O230" s="75"/>
      <c r="P230" s="59"/>
      <c r="Q230" s="59"/>
      <c r="S230" s="60" t="str">
        <f>IF($G230="","",$G230&amp;"#"&amp;COUNTIF($G$10:$G230,$G230))</f>
        <v/>
      </c>
    </row>
    <row r="231" spans="2:19" ht="18.75" customHeight="1" x14ac:dyDescent="0.2">
      <c r="B231" s="61"/>
      <c r="C231" s="62"/>
      <c r="D231" s="62"/>
      <c r="E231" s="63"/>
      <c r="F231" s="63"/>
      <c r="G231" s="62"/>
      <c r="H231" s="64"/>
      <c r="I231" s="65" t="str">
        <f t="shared" si="3"/>
        <v/>
      </c>
      <c r="K231" s="133" t="s">
        <v>213</v>
      </c>
      <c r="L231" s="133"/>
      <c r="M231" s="133"/>
      <c r="N231" s="77"/>
      <c r="O231" s="133" t="s">
        <v>214</v>
      </c>
      <c r="P231" s="133"/>
      <c r="Q231" s="133"/>
      <c r="S231" s="60" t="str">
        <f>IF($G231="","",$G231&amp;"#"&amp;COUNTIF($G$10:$G231,$G231))</f>
        <v/>
      </c>
    </row>
    <row r="232" spans="2:19" ht="18.75" customHeight="1" x14ac:dyDescent="0.2">
      <c r="B232" s="54"/>
      <c r="C232" s="55"/>
      <c r="D232" s="55"/>
      <c r="E232" s="56"/>
      <c r="F232" s="56"/>
      <c r="G232" s="55"/>
      <c r="H232" s="57"/>
      <c r="I232" s="58" t="str">
        <f t="shared" si="3"/>
        <v/>
      </c>
      <c r="K232" s="66" t="s">
        <v>178</v>
      </c>
      <c r="L232" s="66" t="s">
        <v>160</v>
      </c>
      <c r="M232" s="66" t="s">
        <v>179</v>
      </c>
      <c r="N232" s="77"/>
      <c r="O232" s="66" t="s">
        <v>178</v>
      </c>
      <c r="P232" s="66" t="s">
        <v>160</v>
      </c>
      <c r="Q232" s="66" t="s">
        <v>179</v>
      </c>
      <c r="S232" s="60" t="str">
        <f>IF($G232="","",$G232&amp;"#"&amp;COUNTIF($G$10:$G232,$G232))</f>
        <v/>
      </c>
    </row>
    <row r="233" spans="2:19" ht="18.75" customHeight="1" x14ac:dyDescent="0.2">
      <c r="B233" s="61"/>
      <c r="C233" s="62"/>
      <c r="D233" s="62"/>
      <c r="E233" s="63"/>
      <c r="F233" s="63"/>
      <c r="G233" s="62"/>
      <c r="H233" s="64"/>
      <c r="I233" s="65" t="str">
        <f t="shared" si="3"/>
        <v/>
      </c>
      <c r="K233" s="67">
        <v>10</v>
      </c>
      <c r="L233" s="68">
        <f>SUMIF($G$10:$G$309,27,$C$10:$C$309)</f>
        <v>0</v>
      </c>
      <c r="M233" s="68">
        <f>K233-L233</f>
        <v>10</v>
      </c>
      <c r="N233" s="77"/>
      <c r="O233" s="67">
        <v>10</v>
      </c>
      <c r="P233" s="68">
        <f>SUMIF($G$10:$G$309,28,$C$10:$C$309)</f>
        <v>0</v>
      </c>
      <c r="Q233" s="68">
        <f>O233-P233</f>
        <v>10</v>
      </c>
      <c r="S233" s="60" t="str">
        <f>IF($G233="","",$G233&amp;"#"&amp;COUNTIF($G$10:$G233,$G233))</f>
        <v/>
      </c>
    </row>
    <row r="234" spans="2:19" ht="18.75" customHeight="1" x14ac:dyDescent="0.2">
      <c r="B234" s="54"/>
      <c r="C234" s="55"/>
      <c r="D234" s="55"/>
      <c r="E234" s="56"/>
      <c r="F234" s="56"/>
      <c r="G234" s="55"/>
      <c r="H234" s="57"/>
      <c r="I234" s="58" t="str">
        <f t="shared" si="3"/>
        <v/>
      </c>
      <c r="K234" s="69" t="s">
        <v>163</v>
      </c>
      <c r="L234" s="70" t="s">
        <v>185</v>
      </c>
      <c r="M234" s="70"/>
      <c r="N234" s="77"/>
      <c r="O234" s="69" t="s">
        <v>163</v>
      </c>
      <c r="P234" s="70" t="s">
        <v>185</v>
      </c>
      <c r="Q234" s="70"/>
      <c r="S234" s="60" t="str">
        <f>IF($G234="","",$G234&amp;"#"&amp;COUNTIF($G$10:$G234,$G234))</f>
        <v/>
      </c>
    </row>
    <row r="235" spans="2:19" ht="18.75" customHeight="1" x14ac:dyDescent="0.2">
      <c r="B235" s="61"/>
      <c r="C235" s="62"/>
      <c r="D235" s="62"/>
      <c r="E235" s="63"/>
      <c r="F235" s="63"/>
      <c r="G235" s="62"/>
      <c r="H235" s="64"/>
      <c r="I235" s="65" t="str">
        <f t="shared" si="3"/>
        <v/>
      </c>
      <c r="K235" s="63" t="str">
        <f>IFERROR(INDEX($B$10:$B$309,MATCH("27#1",$S$10:$S$309,0)),"")</f>
        <v/>
      </c>
      <c r="L235" s="62" t="str">
        <f>IF(K235="","",INDEX($C$10:$C$309,MATCH("27#1",$S$10:$S$309,0)))</f>
        <v/>
      </c>
      <c r="M235" s="71"/>
      <c r="N235" s="77"/>
      <c r="O235" s="63" t="str">
        <f>IFERROR(INDEX($B$10:$B$309,MATCH("28#1",$S$10:$S$309,0)),"")</f>
        <v/>
      </c>
      <c r="P235" s="62" t="str">
        <f>IF(O235="","",INDEX($C$10:$C$309,MATCH("28#1",$S$10:$S$309,0)))</f>
        <v/>
      </c>
      <c r="Q235" s="71"/>
      <c r="S235" s="60" t="str">
        <f>IF($G235="","",$G235&amp;"#"&amp;COUNTIF($G$10:$G235,$G235))</f>
        <v/>
      </c>
    </row>
    <row r="236" spans="2:19" ht="18.75" customHeight="1" x14ac:dyDescent="0.2">
      <c r="B236" s="54"/>
      <c r="C236" s="55"/>
      <c r="D236" s="55"/>
      <c r="E236" s="56"/>
      <c r="F236" s="56"/>
      <c r="G236" s="55"/>
      <c r="H236" s="57"/>
      <c r="I236" s="58" t="str">
        <f t="shared" si="3"/>
        <v/>
      </c>
      <c r="K236" s="72" t="str">
        <f>IFERROR(INDEX($B$10:$B$309,MATCH("27#2",$S$10:$S$309,0)),"")</f>
        <v/>
      </c>
      <c r="L236" s="73" t="str">
        <f>IF(K236="","",INDEX($C$10:$C$309,MATCH("27#2",$S$10:$S$309,0)))</f>
        <v/>
      </c>
      <c r="M236" s="74"/>
      <c r="N236" s="77"/>
      <c r="O236" s="72" t="str">
        <f>IFERROR(INDEX($B$10:$B$309,MATCH("28#2",$S$10:$S$309,0)),"")</f>
        <v/>
      </c>
      <c r="P236" s="73" t="str">
        <f>IF(O236="","",INDEX($C$10:$C$309,MATCH("28#2",$S$10:$S$309,0)))</f>
        <v/>
      </c>
      <c r="Q236" s="74"/>
      <c r="S236" s="60" t="str">
        <f>IF($G236="","",$G236&amp;"#"&amp;COUNTIF($G$10:$G236,$G236))</f>
        <v/>
      </c>
    </row>
    <row r="237" spans="2:19" ht="18.75" customHeight="1" x14ac:dyDescent="0.2">
      <c r="B237" s="61"/>
      <c r="C237" s="62"/>
      <c r="D237" s="62"/>
      <c r="E237" s="63"/>
      <c r="F237" s="63"/>
      <c r="G237" s="62"/>
      <c r="H237" s="64"/>
      <c r="I237" s="65" t="str">
        <f t="shared" si="3"/>
        <v/>
      </c>
      <c r="K237" s="63" t="str">
        <f>IFERROR(INDEX($B$10:$B$309,MATCH("27#3",$S$10:$S$309,0)),"")</f>
        <v/>
      </c>
      <c r="L237" s="62" t="str">
        <f>IF(K237="","",INDEX($C$10:$C$309,MATCH("27#3",$S$10:$S$309,0)))</f>
        <v/>
      </c>
      <c r="M237" s="71"/>
      <c r="N237" s="77"/>
      <c r="O237" s="63" t="str">
        <f>IFERROR(INDEX($B$10:$B$309,MATCH("28#3",$S$10:$S$309,0)),"")</f>
        <v/>
      </c>
      <c r="P237" s="62" t="str">
        <f>IF(O237="","",INDEX($C$10:$C$309,MATCH("28#3",$S$10:$S$309,0)))</f>
        <v/>
      </c>
      <c r="Q237" s="71"/>
      <c r="S237" s="60" t="str">
        <f>IF($G237="","",$G237&amp;"#"&amp;COUNTIF($G$10:$G237,$G237))</f>
        <v/>
      </c>
    </row>
    <row r="238" spans="2:19" ht="18.75" customHeight="1" x14ac:dyDescent="0.2">
      <c r="B238" s="54"/>
      <c r="C238" s="55"/>
      <c r="D238" s="55"/>
      <c r="E238" s="56"/>
      <c r="F238" s="56"/>
      <c r="G238" s="55"/>
      <c r="H238" s="57"/>
      <c r="I238" s="58" t="str">
        <f t="shared" si="3"/>
        <v/>
      </c>
      <c r="K238" s="72" t="str">
        <f>IFERROR(INDEX($B$10:$B$309,MATCH("27#4",$S$10:$S$309,0)),"")</f>
        <v/>
      </c>
      <c r="L238" s="73" t="str">
        <f>IF(K238="","",INDEX($C$10:$C$309,MATCH("27#4",$S$10:$S$309,0)))</f>
        <v/>
      </c>
      <c r="M238" s="74"/>
      <c r="N238" s="77"/>
      <c r="O238" s="72" t="str">
        <f>IFERROR(INDEX($B$10:$B$309,MATCH("28#4",$S$10:$S$309,0)),"")</f>
        <v/>
      </c>
      <c r="P238" s="73" t="str">
        <f>IF(O238="","",INDEX($C$10:$C$309,MATCH("28#4",$S$10:$S$309,0)))</f>
        <v/>
      </c>
      <c r="Q238" s="74"/>
      <c r="S238" s="60" t="str">
        <f>IF($G238="","",$G238&amp;"#"&amp;COUNTIF($G$10:$G238,$G238))</f>
        <v/>
      </c>
    </row>
    <row r="239" spans="2:19" ht="18.75" customHeight="1" x14ac:dyDescent="0.2">
      <c r="B239" s="61"/>
      <c r="C239" s="62"/>
      <c r="D239" s="62"/>
      <c r="E239" s="63"/>
      <c r="F239" s="63"/>
      <c r="G239" s="62"/>
      <c r="H239" s="64"/>
      <c r="I239" s="65" t="str">
        <f t="shared" si="3"/>
        <v/>
      </c>
      <c r="K239" s="63" t="str">
        <f>IFERROR(INDEX($B$10:$B$309,MATCH("27#5",$S$10:$S$309,0)),"")</f>
        <v/>
      </c>
      <c r="L239" s="62" t="str">
        <f>IF(K239="","",INDEX($C$10:$C$309,MATCH("27#5",$S$10:$S$309,0)))</f>
        <v/>
      </c>
      <c r="M239" s="71"/>
      <c r="N239" s="77"/>
      <c r="O239" s="63" t="str">
        <f>IFERROR(INDEX($B$10:$B$309,MATCH("28#5",$S$10:$S$309,0)),"")</f>
        <v/>
      </c>
      <c r="P239" s="62" t="str">
        <f>IF(O239="","",INDEX($C$10:$C$309,MATCH("28#5",$S$10:$S$309,0)))</f>
        <v/>
      </c>
      <c r="Q239" s="71"/>
      <c r="S239" s="60" t="str">
        <f>IF($G239="","",$G239&amp;"#"&amp;COUNTIF($G$10:$G239,$G239))</f>
        <v/>
      </c>
    </row>
    <row r="240" spans="2:19" ht="18.75" customHeight="1" x14ac:dyDescent="0.2">
      <c r="B240" s="54"/>
      <c r="C240" s="55"/>
      <c r="D240" s="55"/>
      <c r="E240" s="56"/>
      <c r="F240" s="56"/>
      <c r="G240" s="55"/>
      <c r="H240" s="57"/>
      <c r="I240" s="58" t="str">
        <f t="shared" si="3"/>
        <v/>
      </c>
      <c r="K240" s="72" t="str">
        <f>IFERROR(INDEX($B$10:$B$309,MATCH("27#6",$S$10:$S$309,0)),"")</f>
        <v/>
      </c>
      <c r="L240" s="73" t="str">
        <f>IF(K240="","",INDEX($C$10:$C$309,MATCH("27#6",$S$10:$S$309,0)))</f>
        <v/>
      </c>
      <c r="M240" s="74"/>
      <c r="N240" s="77"/>
      <c r="O240" s="72" t="str">
        <f>IFERROR(INDEX($B$10:$B$309,MATCH("28#6",$S$10:$S$309,0)),"")</f>
        <v/>
      </c>
      <c r="P240" s="73" t="str">
        <f>IF(O240="","",INDEX($C$10:$C$309,MATCH("28#6",$S$10:$S$309,0)))</f>
        <v/>
      </c>
      <c r="Q240" s="74"/>
      <c r="S240" s="60" t="str">
        <f>IF($G240="","",$G240&amp;"#"&amp;COUNTIF($G$10:$G240,$G240))</f>
        <v/>
      </c>
    </row>
    <row r="241" spans="2:19" ht="18.75" customHeight="1" x14ac:dyDescent="0.2">
      <c r="B241" s="61"/>
      <c r="C241" s="62"/>
      <c r="D241" s="62"/>
      <c r="E241" s="63"/>
      <c r="F241" s="63"/>
      <c r="G241" s="62"/>
      <c r="H241" s="64"/>
      <c r="I241" s="65" t="str">
        <f t="shared" si="3"/>
        <v/>
      </c>
      <c r="K241" s="63" t="str">
        <f>IFERROR(INDEX($B$10:$B$309,MATCH("27#7",$S$10:$S$309,0)),"")</f>
        <v/>
      </c>
      <c r="L241" s="62" t="str">
        <f>IF(K241="","",INDEX($C$10:$C$309,MATCH("27#7",$S$10:$S$309,0)))</f>
        <v/>
      </c>
      <c r="M241" s="71"/>
      <c r="N241" s="77"/>
      <c r="O241" s="63" t="str">
        <f>IFERROR(INDEX($B$10:$B$309,MATCH("28#7",$S$10:$S$309,0)),"")</f>
        <v/>
      </c>
      <c r="P241" s="62" t="str">
        <f>IF(O241="","",INDEX($C$10:$C$309,MATCH("28#7",$S$10:$S$309,0)))</f>
        <v/>
      </c>
      <c r="Q241" s="71"/>
      <c r="S241" s="60" t="str">
        <f>IF($G241="","",$G241&amp;"#"&amp;COUNTIF($G$10:$G241,$G241))</f>
        <v/>
      </c>
    </row>
    <row r="242" spans="2:19" ht="18.75" customHeight="1" x14ac:dyDescent="0.2">
      <c r="B242" s="54"/>
      <c r="C242" s="55"/>
      <c r="D242" s="55"/>
      <c r="E242" s="56"/>
      <c r="F242" s="56"/>
      <c r="G242" s="55"/>
      <c r="H242" s="57"/>
      <c r="I242" s="58" t="str">
        <f t="shared" si="3"/>
        <v/>
      </c>
      <c r="K242" s="72" t="str">
        <f>IFERROR(INDEX($B$10:$B$309,MATCH("27#8",$S$10:$S$309,0)),"")</f>
        <v/>
      </c>
      <c r="L242" s="73" t="str">
        <f>IF(K242="","",INDEX($C$10:$C$309,MATCH("27#8",$S$10:$S$309,0)))</f>
        <v/>
      </c>
      <c r="M242" s="74"/>
      <c r="N242" s="77"/>
      <c r="O242" s="72" t="str">
        <f>IFERROR(INDEX($B$10:$B$309,MATCH("28#8",$S$10:$S$309,0)),"")</f>
        <v/>
      </c>
      <c r="P242" s="73" t="str">
        <f>IF(O242="","",INDEX($C$10:$C$309,MATCH("28#8",$S$10:$S$309,0)))</f>
        <v/>
      </c>
      <c r="Q242" s="74"/>
      <c r="S242" s="60" t="str">
        <f>IF($G242="","",$G242&amp;"#"&amp;COUNTIF($G$10:$G242,$G242))</f>
        <v/>
      </c>
    </row>
    <row r="243" spans="2:19" ht="18.75" customHeight="1" x14ac:dyDescent="0.2">
      <c r="B243" s="61"/>
      <c r="C243" s="62"/>
      <c r="D243" s="62"/>
      <c r="E243" s="63"/>
      <c r="F243" s="63"/>
      <c r="G243" s="62"/>
      <c r="H243" s="64"/>
      <c r="I243" s="65" t="str">
        <f t="shared" si="3"/>
        <v/>
      </c>
      <c r="K243" s="63" t="str">
        <f>IFERROR(INDEX($B$10:$B$309,MATCH("27#9",$S$10:$S$309,0)),"")</f>
        <v/>
      </c>
      <c r="L243" s="62" t="str">
        <f>IF(K243="","",INDEX($C$10:$C$309,MATCH("27#9",$S$10:$S$309,0)))</f>
        <v/>
      </c>
      <c r="M243" s="71"/>
      <c r="N243" s="77"/>
      <c r="O243" s="63" t="str">
        <f>IFERROR(INDEX($B$10:$B$309,MATCH("28#9",$S$10:$S$309,0)),"")</f>
        <v/>
      </c>
      <c r="P243" s="62" t="str">
        <f>IF(O243="","",INDEX($C$10:$C$309,MATCH("28#9",$S$10:$S$309,0)))</f>
        <v/>
      </c>
      <c r="Q243" s="71"/>
      <c r="S243" s="60" t="str">
        <f>IF($G243="","",$G243&amp;"#"&amp;COUNTIF($G$10:$G243,$G243))</f>
        <v/>
      </c>
    </row>
    <row r="244" spans="2:19" ht="18.75" customHeight="1" x14ac:dyDescent="0.2">
      <c r="B244" s="54"/>
      <c r="C244" s="55"/>
      <c r="D244" s="55"/>
      <c r="E244" s="56"/>
      <c r="F244" s="56"/>
      <c r="G244" s="55"/>
      <c r="H244" s="57"/>
      <c r="I244" s="58" t="str">
        <f t="shared" si="3"/>
        <v/>
      </c>
      <c r="K244" s="72" t="str">
        <f>IFERROR(INDEX($B$10:$B$309,MATCH("27#10",$S$10:$S$309,0)),"")</f>
        <v/>
      </c>
      <c r="L244" s="73" t="str">
        <f>IF(K244="","",INDEX($C$10:$C$309,MATCH("27#10",$S$10:$S$309,0)))</f>
        <v/>
      </c>
      <c r="M244" s="74"/>
      <c r="N244" s="77"/>
      <c r="O244" s="72" t="str">
        <f>IFERROR(INDEX($B$10:$B$309,MATCH("28#10",$S$10:$S$309,0)),"")</f>
        <v/>
      </c>
      <c r="P244" s="73" t="str">
        <f>IF(O244="","",INDEX($C$10:$C$309,MATCH("28#10",$S$10:$S$309,0)))</f>
        <v/>
      </c>
      <c r="Q244" s="74"/>
      <c r="S244" s="60" t="str">
        <f>IF($G244="","",$G244&amp;"#"&amp;COUNTIF($G$10:$G244,$G244))</f>
        <v/>
      </c>
    </row>
    <row r="245" spans="2:19" ht="18.75" customHeight="1" x14ac:dyDescent="0.2">
      <c r="B245" s="61"/>
      <c r="C245" s="62"/>
      <c r="D245" s="62"/>
      <c r="E245" s="63"/>
      <c r="F245" s="63"/>
      <c r="G245" s="62"/>
      <c r="H245" s="64"/>
      <c r="I245" s="65" t="str">
        <f t="shared" si="3"/>
        <v/>
      </c>
      <c r="K245" s="63" t="str">
        <f>IFERROR(INDEX($B$10:$B$309,MATCH("27#11",$S$10:$S$309,0)),"")</f>
        <v/>
      </c>
      <c r="L245" s="62" t="str">
        <f>IF(K245="","",INDEX($C$10:$C$309,MATCH("27#11",$S$10:$S$309,0)))</f>
        <v/>
      </c>
      <c r="M245" s="71"/>
      <c r="N245" s="77"/>
      <c r="O245" s="63" t="str">
        <f>IFERROR(INDEX($B$10:$B$309,MATCH("28#11",$S$10:$S$309,0)),"")</f>
        <v/>
      </c>
      <c r="P245" s="62" t="str">
        <f>IF(O245="","",INDEX($C$10:$C$309,MATCH("28#11",$S$10:$S$309,0)))</f>
        <v/>
      </c>
      <c r="Q245" s="71"/>
      <c r="S245" s="60" t="str">
        <f>IF($G245="","",$G245&amp;"#"&amp;COUNTIF($G$10:$G245,$G245))</f>
        <v/>
      </c>
    </row>
    <row r="246" spans="2:19" ht="18.75" customHeight="1" x14ac:dyDescent="0.2">
      <c r="B246" s="54"/>
      <c r="C246" s="55"/>
      <c r="D246" s="55"/>
      <c r="E246" s="56"/>
      <c r="F246" s="56"/>
      <c r="G246" s="55"/>
      <c r="H246" s="57"/>
      <c r="I246" s="58" t="str">
        <f t="shared" si="3"/>
        <v/>
      </c>
      <c r="K246" s="72" t="str">
        <f>IFERROR(INDEX($B$10:$B$309,MATCH("27#12",$S$10:$S$309,0)),"")</f>
        <v/>
      </c>
      <c r="L246" s="73" t="str">
        <f>IF(K246="","",INDEX($C$10:$C$309,MATCH("27#12",$S$10:$S$309,0)))</f>
        <v/>
      </c>
      <c r="M246" s="74"/>
      <c r="N246" s="77"/>
      <c r="O246" s="72" t="str">
        <f>IFERROR(INDEX($B$10:$B$309,MATCH("28#12",$S$10:$S$309,0)),"")</f>
        <v/>
      </c>
      <c r="P246" s="73" t="str">
        <f>IF(O246="","",INDEX($C$10:$C$309,MATCH("28#12",$S$10:$S$309,0)))</f>
        <v/>
      </c>
      <c r="Q246" s="74"/>
      <c r="S246" s="60" t="str">
        <f>IF($G246="","",$G246&amp;"#"&amp;COUNTIF($G$10:$G246,$G246))</f>
        <v/>
      </c>
    </row>
    <row r="247" spans="2:19" ht="18.75" customHeight="1" x14ac:dyDescent="0.2">
      <c r="B247" s="61"/>
      <c r="C247" s="62"/>
      <c r="D247" s="62"/>
      <c r="E247" s="63"/>
      <c r="F247" s="63"/>
      <c r="G247" s="62"/>
      <c r="H247" s="64"/>
      <c r="I247" s="65" t="str">
        <f t="shared" si="3"/>
        <v/>
      </c>
      <c r="K247" s="75"/>
      <c r="L247" s="59"/>
      <c r="M247" s="59"/>
      <c r="N247" s="77"/>
      <c r="O247" s="75"/>
      <c r="P247" s="59"/>
      <c r="Q247" s="59"/>
      <c r="S247" s="60" t="str">
        <f>IF($G247="","",$G247&amp;"#"&amp;COUNTIF($G$10:$G247,$G247))</f>
        <v/>
      </c>
    </row>
    <row r="248" spans="2:19" ht="18.75" customHeight="1" x14ac:dyDescent="0.2">
      <c r="B248" s="54"/>
      <c r="C248" s="55"/>
      <c r="D248" s="55"/>
      <c r="E248" s="56"/>
      <c r="F248" s="56"/>
      <c r="G248" s="55"/>
      <c r="H248" s="57"/>
      <c r="I248" s="58" t="str">
        <f t="shared" si="3"/>
        <v/>
      </c>
      <c r="K248" s="133" t="s">
        <v>215</v>
      </c>
      <c r="L248" s="133"/>
      <c r="M248" s="133"/>
      <c r="N248" s="77"/>
      <c r="O248" s="133" t="s">
        <v>216</v>
      </c>
      <c r="P248" s="133"/>
      <c r="Q248" s="133"/>
      <c r="S248" s="60" t="str">
        <f>IF($G248="","",$G248&amp;"#"&amp;COUNTIF($G$10:$G248,$G248))</f>
        <v/>
      </c>
    </row>
    <row r="249" spans="2:19" ht="18.75" customHeight="1" x14ac:dyDescent="0.2">
      <c r="B249" s="61"/>
      <c r="C249" s="62"/>
      <c r="D249" s="62"/>
      <c r="E249" s="63"/>
      <c r="F249" s="63"/>
      <c r="G249" s="62"/>
      <c r="H249" s="64"/>
      <c r="I249" s="65" t="str">
        <f t="shared" si="3"/>
        <v/>
      </c>
      <c r="K249" s="66" t="s">
        <v>178</v>
      </c>
      <c r="L249" s="66" t="s">
        <v>160</v>
      </c>
      <c r="M249" s="66" t="s">
        <v>179</v>
      </c>
      <c r="N249" s="77"/>
      <c r="O249" s="66" t="s">
        <v>178</v>
      </c>
      <c r="P249" s="66" t="s">
        <v>160</v>
      </c>
      <c r="Q249" s="66" t="s">
        <v>179</v>
      </c>
      <c r="S249" s="60" t="str">
        <f>IF($G249="","",$G249&amp;"#"&amp;COUNTIF($G$10:$G249,$G249))</f>
        <v/>
      </c>
    </row>
    <row r="250" spans="2:19" ht="18.75" customHeight="1" x14ac:dyDescent="0.2">
      <c r="B250" s="54"/>
      <c r="C250" s="55"/>
      <c r="D250" s="55"/>
      <c r="E250" s="56"/>
      <c r="F250" s="56"/>
      <c r="G250" s="55"/>
      <c r="H250" s="57"/>
      <c r="I250" s="58" t="str">
        <f t="shared" si="3"/>
        <v/>
      </c>
      <c r="K250" s="67">
        <v>10</v>
      </c>
      <c r="L250" s="68">
        <f>SUMIF($G$10:$G$309,29,$C$10:$C$309)</f>
        <v>0</v>
      </c>
      <c r="M250" s="68">
        <f>K250-L250</f>
        <v>10</v>
      </c>
      <c r="N250" s="77"/>
      <c r="O250" s="67">
        <v>10</v>
      </c>
      <c r="P250" s="68">
        <f>SUMIF($G$10:$G$309,30,$C$10:$C$309)</f>
        <v>0</v>
      </c>
      <c r="Q250" s="68">
        <f>O250-P250</f>
        <v>10</v>
      </c>
      <c r="S250" s="60" t="str">
        <f>IF($G250="","",$G250&amp;"#"&amp;COUNTIF($G$10:$G250,$G250))</f>
        <v/>
      </c>
    </row>
    <row r="251" spans="2:19" ht="18.75" customHeight="1" x14ac:dyDescent="0.2">
      <c r="B251" s="61"/>
      <c r="C251" s="62"/>
      <c r="D251" s="62"/>
      <c r="E251" s="63"/>
      <c r="F251" s="63"/>
      <c r="G251" s="62"/>
      <c r="H251" s="64"/>
      <c r="I251" s="65" t="str">
        <f t="shared" si="3"/>
        <v/>
      </c>
      <c r="K251" s="69" t="s">
        <v>163</v>
      </c>
      <c r="L251" s="70" t="s">
        <v>185</v>
      </c>
      <c r="M251" s="70"/>
      <c r="N251" s="77"/>
      <c r="O251" s="69" t="s">
        <v>163</v>
      </c>
      <c r="P251" s="70" t="s">
        <v>185</v>
      </c>
      <c r="Q251" s="70"/>
      <c r="S251" s="60" t="str">
        <f>IF($G251="","",$G251&amp;"#"&amp;COUNTIF($G$10:$G251,$G251))</f>
        <v/>
      </c>
    </row>
    <row r="252" spans="2:19" ht="18.75" customHeight="1" x14ac:dyDescent="0.2">
      <c r="B252" s="54"/>
      <c r="C252" s="55"/>
      <c r="D252" s="55"/>
      <c r="E252" s="56"/>
      <c r="F252" s="56"/>
      <c r="G252" s="55"/>
      <c r="H252" s="57"/>
      <c r="I252" s="58" t="str">
        <f t="shared" si="3"/>
        <v/>
      </c>
      <c r="K252" s="63" t="str">
        <f>IFERROR(INDEX($B$10:$B$309,MATCH("29#1",$S$10:$S$309,0)),"")</f>
        <v/>
      </c>
      <c r="L252" s="62" t="str">
        <f>IF(K252="","",INDEX($C$10:$C$309,MATCH("29#1",$S$10:$S$309,0)))</f>
        <v/>
      </c>
      <c r="M252" s="71"/>
      <c r="N252" s="77"/>
      <c r="O252" s="63" t="str">
        <f>IFERROR(INDEX($B$10:$B$309,MATCH("30#1",$S$10:$S$309,0)),"")</f>
        <v/>
      </c>
      <c r="P252" s="62" t="str">
        <f>IF(O252="","",INDEX($C$10:$C$309,MATCH("30#1",$S$10:$S$309,0)))</f>
        <v/>
      </c>
      <c r="Q252" s="71"/>
      <c r="S252" s="60" t="str">
        <f>IF($G252="","",$G252&amp;"#"&amp;COUNTIF($G$10:$G252,$G252))</f>
        <v/>
      </c>
    </row>
    <row r="253" spans="2:19" ht="18.75" customHeight="1" x14ac:dyDescent="0.2">
      <c r="B253" s="61"/>
      <c r="C253" s="62"/>
      <c r="D253" s="62"/>
      <c r="E253" s="63"/>
      <c r="F253" s="63"/>
      <c r="G253" s="62"/>
      <c r="H253" s="64"/>
      <c r="I253" s="65" t="str">
        <f t="shared" si="3"/>
        <v/>
      </c>
      <c r="K253" s="72" t="str">
        <f>IFERROR(INDEX($B$10:$B$309,MATCH("29#2",$S$10:$S$309,0)),"")</f>
        <v/>
      </c>
      <c r="L253" s="73" t="str">
        <f>IF(K253="","",INDEX($C$10:$C$309,MATCH("29#2",$S$10:$S$309,0)))</f>
        <v/>
      </c>
      <c r="M253" s="74"/>
      <c r="N253" s="77"/>
      <c r="O253" s="72" t="str">
        <f>IFERROR(INDEX($B$10:$B$309,MATCH("30#2",$S$10:$S$309,0)),"")</f>
        <v/>
      </c>
      <c r="P253" s="73" t="str">
        <f>IF(O253="","",INDEX($C$10:$C$309,MATCH("30#2",$S$10:$S$309,0)))</f>
        <v/>
      </c>
      <c r="Q253" s="74"/>
      <c r="S253" s="60" t="str">
        <f>IF($G253="","",$G253&amp;"#"&amp;COUNTIF($G$10:$G253,$G253))</f>
        <v/>
      </c>
    </row>
    <row r="254" spans="2:19" ht="18.75" customHeight="1" x14ac:dyDescent="0.2">
      <c r="B254" s="54"/>
      <c r="C254" s="55"/>
      <c r="D254" s="55"/>
      <c r="E254" s="56"/>
      <c r="F254" s="56"/>
      <c r="G254" s="55"/>
      <c r="H254" s="57"/>
      <c r="I254" s="58" t="str">
        <f t="shared" si="3"/>
        <v/>
      </c>
      <c r="K254" s="63" t="str">
        <f>IFERROR(INDEX($B$10:$B$309,MATCH("29#3",$S$10:$S$309,0)),"")</f>
        <v/>
      </c>
      <c r="L254" s="62" t="str">
        <f>IF(K254="","",INDEX($C$10:$C$309,MATCH("29#3",$S$10:$S$309,0)))</f>
        <v/>
      </c>
      <c r="M254" s="71"/>
      <c r="N254" s="77"/>
      <c r="O254" s="63" t="str">
        <f>IFERROR(INDEX($B$10:$B$309,MATCH("30#3",$S$10:$S$309,0)),"")</f>
        <v/>
      </c>
      <c r="P254" s="62" t="str">
        <f>IF(O254="","",INDEX($C$10:$C$309,MATCH("30#3",$S$10:$S$309,0)))</f>
        <v/>
      </c>
      <c r="Q254" s="71"/>
      <c r="S254" s="60" t="str">
        <f>IF($G254="","",$G254&amp;"#"&amp;COUNTIF($G$10:$G254,$G254))</f>
        <v/>
      </c>
    </row>
    <row r="255" spans="2:19" ht="18.75" customHeight="1" x14ac:dyDescent="0.2">
      <c r="B255" s="61"/>
      <c r="C255" s="62"/>
      <c r="D255" s="62"/>
      <c r="E255" s="63"/>
      <c r="F255" s="63"/>
      <c r="G255" s="62"/>
      <c r="H255" s="64"/>
      <c r="I255" s="65" t="str">
        <f t="shared" si="3"/>
        <v/>
      </c>
      <c r="K255" s="72" t="str">
        <f>IFERROR(INDEX($B$10:$B$309,MATCH("29#4",$S$10:$S$309,0)),"")</f>
        <v/>
      </c>
      <c r="L255" s="73" t="str">
        <f>IF(K255="","",INDEX($C$10:$C$309,MATCH("29#4",$S$10:$S$309,0)))</f>
        <v/>
      </c>
      <c r="M255" s="74"/>
      <c r="N255" s="77"/>
      <c r="O255" s="72" t="str">
        <f>IFERROR(INDEX($B$10:$B$309,MATCH("30#4",$S$10:$S$309,0)),"")</f>
        <v/>
      </c>
      <c r="P255" s="73" t="str">
        <f>IF(O255="","",INDEX($C$10:$C$309,MATCH("30#4",$S$10:$S$309,0)))</f>
        <v/>
      </c>
      <c r="Q255" s="74"/>
      <c r="S255" s="60" t="str">
        <f>IF($G255="","",$G255&amp;"#"&amp;COUNTIF($G$10:$G255,$G255))</f>
        <v/>
      </c>
    </row>
    <row r="256" spans="2:19" ht="18.75" customHeight="1" x14ac:dyDescent="0.2">
      <c r="B256" s="54"/>
      <c r="C256" s="55"/>
      <c r="D256" s="55"/>
      <c r="E256" s="56"/>
      <c r="F256" s="56"/>
      <c r="G256" s="55"/>
      <c r="H256" s="57"/>
      <c r="I256" s="58" t="str">
        <f t="shared" si="3"/>
        <v/>
      </c>
      <c r="K256" s="63" t="str">
        <f>IFERROR(INDEX($B$10:$B$309,MATCH("29#5",$S$10:$S$309,0)),"")</f>
        <v/>
      </c>
      <c r="L256" s="62" t="str">
        <f>IF(K256="","",INDEX($C$10:$C$309,MATCH("29#5",$S$10:$S$309,0)))</f>
        <v/>
      </c>
      <c r="M256" s="71"/>
      <c r="N256" s="77"/>
      <c r="O256" s="63" t="str">
        <f>IFERROR(INDEX($B$10:$B$309,MATCH("30#5",$S$10:$S$309,0)),"")</f>
        <v/>
      </c>
      <c r="P256" s="62" t="str">
        <f>IF(O256="","",INDEX($C$10:$C$309,MATCH("30#5",$S$10:$S$309,0)))</f>
        <v/>
      </c>
      <c r="Q256" s="71"/>
      <c r="S256" s="60" t="str">
        <f>IF($G256="","",$G256&amp;"#"&amp;COUNTIF($G$10:$G256,$G256))</f>
        <v/>
      </c>
    </row>
    <row r="257" spans="2:19" ht="18.75" customHeight="1" x14ac:dyDescent="0.2">
      <c r="B257" s="61"/>
      <c r="C257" s="62"/>
      <c r="D257" s="62"/>
      <c r="E257" s="63"/>
      <c r="F257" s="63"/>
      <c r="G257" s="62"/>
      <c r="H257" s="64"/>
      <c r="I257" s="65" t="str">
        <f t="shared" si="3"/>
        <v/>
      </c>
      <c r="K257" s="72" t="str">
        <f>IFERROR(INDEX($B$10:$B$309,MATCH("29#6",$S$10:$S$309,0)),"")</f>
        <v/>
      </c>
      <c r="L257" s="73" t="str">
        <f>IF(K257="","",INDEX($C$10:$C$309,MATCH("29#6",$S$10:$S$309,0)))</f>
        <v/>
      </c>
      <c r="M257" s="74"/>
      <c r="N257" s="77"/>
      <c r="O257" s="72" t="str">
        <f>IFERROR(INDEX($B$10:$B$309,MATCH("30#6",$S$10:$S$309,0)),"")</f>
        <v/>
      </c>
      <c r="P257" s="73" t="str">
        <f>IF(O257="","",INDEX($C$10:$C$309,MATCH("30#6",$S$10:$S$309,0)))</f>
        <v/>
      </c>
      <c r="Q257" s="74"/>
      <c r="S257" s="60" t="str">
        <f>IF($G257="","",$G257&amp;"#"&amp;COUNTIF($G$10:$G257,$G257))</f>
        <v/>
      </c>
    </row>
    <row r="258" spans="2:19" ht="18.75" customHeight="1" x14ac:dyDescent="0.2">
      <c r="B258" s="54"/>
      <c r="C258" s="55"/>
      <c r="D258" s="55"/>
      <c r="E258" s="56"/>
      <c r="F258" s="56"/>
      <c r="G258" s="55"/>
      <c r="H258" s="57"/>
      <c r="I258" s="58" t="str">
        <f t="shared" si="3"/>
        <v/>
      </c>
      <c r="K258" s="63" t="str">
        <f>IFERROR(INDEX($B$10:$B$309,MATCH("29#7",$S$10:$S$309,0)),"")</f>
        <v/>
      </c>
      <c r="L258" s="62" t="str">
        <f>IF(K258="","",INDEX($C$10:$C$309,MATCH("29#7",$S$10:$S$309,0)))</f>
        <v/>
      </c>
      <c r="M258" s="71"/>
      <c r="N258" s="77"/>
      <c r="O258" s="63" t="str">
        <f>IFERROR(INDEX($B$10:$B$309,MATCH("30#7",$S$10:$S$309,0)),"")</f>
        <v/>
      </c>
      <c r="P258" s="62" t="str">
        <f>IF(O258="","",INDEX($C$10:$C$309,MATCH("30#7",$S$10:$S$309,0)))</f>
        <v/>
      </c>
      <c r="Q258" s="71"/>
      <c r="S258" s="60" t="str">
        <f>IF($G258="","",$G258&amp;"#"&amp;COUNTIF($G$10:$G258,$G258))</f>
        <v/>
      </c>
    </row>
    <row r="259" spans="2:19" ht="18.75" customHeight="1" x14ac:dyDescent="0.2">
      <c r="B259" s="61"/>
      <c r="C259" s="62"/>
      <c r="D259" s="62"/>
      <c r="E259" s="63"/>
      <c r="F259" s="63"/>
      <c r="G259" s="62"/>
      <c r="H259" s="64"/>
      <c r="I259" s="65" t="str">
        <f t="shared" si="3"/>
        <v/>
      </c>
      <c r="K259" s="72" t="str">
        <f>IFERROR(INDEX($B$10:$B$309,MATCH("29#8",$S$10:$S$309,0)),"")</f>
        <v/>
      </c>
      <c r="L259" s="73" t="str">
        <f>IF(K259="","",INDEX($C$10:$C$309,MATCH("29#8",$S$10:$S$309,0)))</f>
        <v/>
      </c>
      <c r="M259" s="74"/>
      <c r="N259" s="77"/>
      <c r="O259" s="72" t="str">
        <f>IFERROR(INDEX($B$10:$B$309,MATCH("30#8",$S$10:$S$309,0)),"")</f>
        <v/>
      </c>
      <c r="P259" s="73" t="str">
        <f>IF(O259="","",INDEX($C$10:$C$309,MATCH("30#8",$S$10:$S$309,0)))</f>
        <v/>
      </c>
      <c r="Q259" s="74"/>
      <c r="S259" s="60" t="str">
        <f>IF($G259="","",$G259&amp;"#"&amp;COUNTIF($G$10:$G259,$G259))</f>
        <v/>
      </c>
    </row>
    <row r="260" spans="2:19" ht="18.75" customHeight="1" x14ac:dyDescent="0.2">
      <c r="B260" s="54"/>
      <c r="C260" s="55"/>
      <c r="D260" s="55"/>
      <c r="E260" s="56"/>
      <c r="F260" s="56"/>
      <c r="G260" s="55"/>
      <c r="H260" s="57"/>
      <c r="I260" s="58" t="str">
        <f t="shared" si="3"/>
        <v/>
      </c>
      <c r="K260" s="63" t="str">
        <f>IFERROR(INDEX($B$10:$B$309,MATCH("29#9",$S$10:$S$309,0)),"")</f>
        <v/>
      </c>
      <c r="L260" s="62" t="str">
        <f>IF(K260="","",INDEX($C$10:$C$309,MATCH("29#9",$S$10:$S$309,0)))</f>
        <v/>
      </c>
      <c r="M260" s="71"/>
      <c r="N260" s="77"/>
      <c r="O260" s="63" t="str">
        <f>IFERROR(INDEX($B$10:$B$309,MATCH("30#9",$S$10:$S$309,0)),"")</f>
        <v/>
      </c>
      <c r="P260" s="62" t="str">
        <f>IF(O260="","",INDEX($C$10:$C$309,MATCH("30#9",$S$10:$S$309,0)))</f>
        <v/>
      </c>
      <c r="Q260" s="71"/>
      <c r="S260" s="60" t="str">
        <f>IF($G260="","",$G260&amp;"#"&amp;COUNTIF($G$10:$G260,$G260))</f>
        <v/>
      </c>
    </row>
    <row r="261" spans="2:19" ht="18.75" customHeight="1" x14ac:dyDescent="0.2">
      <c r="B261" s="61"/>
      <c r="C261" s="62"/>
      <c r="D261" s="62"/>
      <c r="E261" s="63"/>
      <c r="F261" s="63"/>
      <c r="G261" s="62"/>
      <c r="H261" s="64"/>
      <c r="I261" s="65" t="str">
        <f t="shared" si="3"/>
        <v/>
      </c>
      <c r="K261" s="72" t="str">
        <f>IFERROR(INDEX($B$10:$B$309,MATCH("29#10",$S$10:$S$309,0)),"")</f>
        <v/>
      </c>
      <c r="L261" s="73" t="str">
        <f>IF(K261="","",INDEX($C$10:$C$309,MATCH("29#10",$S$10:$S$309,0)))</f>
        <v/>
      </c>
      <c r="M261" s="74"/>
      <c r="N261" s="77"/>
      <c r="O261" s="72" t="str">
        <f>IFERROR(INDEX($B$10:$B$309,MATCH("30#10",$S$10:$S$309,0)),"")</f>
        <v/>
      </c>
      <c r="P261" s="73" t="str">
        <f>IF(O261="","",INDEX($C$10:$C$309,MATCH("30#10",$S$10:$S$309,0)))</f>
        <v/>
      </c>
      <c r="Q261" s="74"/>
      <c r="S261" s="60" t="str">
        <f>IF($G261="","",$G261&amp;"#"&amp;COUNTIF($G$10:$G261,$G261))</f>
        <v/>
      </c>
    </row>
    <row r="262" spans="2:19" ht="18.75" customHeight="1" x14ac:dyDescent="0.2">
      <c r="B262" s="54"/>
      <c r="C262" s="55"/>
      <c r="D262" s="55"/>
      <c r="E262" s="56"/>
      <c r="F262" s="56"/>
      <c r="G262" s="55"/>
      <c r="H262" s="57"/>
      <c r="I262" s="58" t="str">
        <f t="shared" si="3"/>
        <v/>
      </c>
      <c r="K262" s="63" t="str">
        <f>IFERROR(INDEX($B$10:$B$309,MATCH("29#11",$S$10:$S$309,0)),"")</f>
        <v/>
      </c>
      <c r="L262" s="62" t="str">
        <f>IF(K262="","",INDEX($C$10:$C$309,MATCH("29#11",$S$10:$S$309,0)))</f>
        <v/>
      </c>
      <c r="M262" s="71"/>
      <c r="N262" s="77"/>
      <c r="O262" s="63" t="str">
        <f>IFERROR(INDEX($B$10:$B$309,MATCH("30#11",$S$10:$S$309,0)),"")</f>
        <v/>
      </c>
      <c r="P262" s="62" t="str">
        <f>IF(O262="","",INDEX($C$10:$C$309,MATCH("30#11",$S$10:$S$309,0)))</f>
        <v/>
      </c>
      <c r="Q262" s="71"/>
      <c r="S262" s="60" t="str">
        <f>IF($G262="","",$G262&amp;"#"&amp;COUNTIF($G$10:$G262,$G262))</f>
        <v/>
      </c>
    </row>
    <row r="263" spans="2:19" ht="18.75" customHeight="1" x14ac:dyDescent="0.2">
      <c r="B263" s="61"/>
      <c r="C263" s="62"/>
      <c r="D263" s="62"/>
      <c r="E263" s="63"/>
      <c r="F263" s="63"/>
      <c r="G263" s="62"/>
      <c r="H263" s="64"/>
      <c r="I263" s="65" t="str">
        <f t="shared" si="3"/>
        <v/>
      </c>
      <c r="K263" s="72" t="str">
        <f>IFERROR(INDEX($B$10:$B$309,MATCH("29#12",$S$10:$S$309,0)),"")</f>
        <v/>
      </c>
      <c r="L263" s="73" t="str">
        <f>IF(K263="","",INDEX($C$10:$C$309,MATCH("29#12",$S$10:$S$309,0)))</f>
        <v/>
      </c>
      <c r="M263" s="74"/>
      <c r="N263" s="77"/>
      <c r="O263" s="72" t="str">
        <f>IFERROR(INDEX($B$10:$B$309,MATCH("30#12",$S$10:$S$309,0)),"")</f>
        <v/>
      </c>
      <c r="P263" s="73" t="str">
        <f>IF(O263="","",INDEX($C$10:$C$309,MATCH("30#12",$S$10:$S$309,0)))</f>
        <v/>
      </c>
      <c r="Q263" s="74"/>
      <c r="S263" s="60" t="str">
        <f>IF($G263="","",$G263&amp;"#"&amp;COUNTIF($G$10:$G263,$G263))</f>
        <v/>
      </c>
    </row>
    <row r="264" spans="2:19" ht="18.75" customHeight="1" x14ac:dyDescent="0.2">
      <c r="B264" s="54"/>
      <c r="C264" s="55"/>
      <c r="D264" s="55"/>
      <c r="E264" s="56"/>
      <c r="F264" s="56"/>
      <c r="G264" s="55"/>
      <c r="H264" s="57"/>
      <c r="I264" s="58" t="str">
        <f t="shared" si="3"/>
        <v/>
      </c>
      <c r="K264" s="59"/>
      <c r="L264" s="59"/>
      <c r="M264" s="59"/>
      <c r="N264" s="77"/>
      <c r="O264" s="59"/>
      <c r="P264" s="59"/>
      <c r="Q264" s="59"/>
      <c r="S264" s="60" t="str">
        <f>IF($G264="","",$G264&amp;"#"&amp;COUNTIF($G$10:$G264,$G264))</f>
        <v/>
      </c>
    </row>
    <row r="265" spans="2:19" ht="18.75" customHeight="1" x14ac:dyDescent="0.2">
      <c r="B265" s="61"/>
      <c r="C265" s="62"/>
      <c r="D265" s="62"/>
      <c r="E265" s="63"/>
      <c r="F265" s="63"/>
      <c r="G265" s="62"/>
      <c r="H265" s="64"/>
      <c r="I265" s="65" t="str">
        <f t="shared" si="3"/>
        <v/>
      </c>
      <c r="K265" s="59"/>
      <c r="L265" s="59"/>
      <c r="M265" s="59"/>
      <c r="N265" s="77"/>
      <c r="O265" s="59"/>
      <c r="P265" s="59"/>
      <c r="Q265" s="59"/>
      <c r="S265" s="60" t="str">
        <f>IF($G265="","",$G265&amp;"#"&amp;COUNTIF($G$10:$G265,$G265))</f>
        <v/>
      </c>
    </row>
    <row r="266" spans="2:19" ht="18.75" customHeight="1" x14ac:dyDescent="0.2">
      <c r="B266" s="54"/>
      <c r="C266" s="55"/>
      <c r="D266" s="55"/>
      <c r="E266" s="56"/>
      <c r="F266" s="56"/>
      <c r="G266" s="55"/>
      <c r="H266" s="57"/>
      <c r="I266" s="58" t="str">
        <f t="shared" ref="I266:I309" si="4">IF($B266="","",IF(AND($E266="Zugesagt",$G266=""),"Tisch wählen!",IF($G266&lt;&gt;"","✓","")))</f>
        <v/>
      </c>
      <c r="S266" s="60" t="str">
        <f>IF($G266="","",$G266&amp;"#"&amp;COUNTIF($G$10:$G266,$G266))</f>
        <v/>
      </c>
    </row>
    <row r="267" spans="2:19" ht="18.75" customHeight="1" x14ac:dyDescent="0.2">
      <c r="B267" s="61"/>
      <c r="C267" s="62"/>
      <c r="D267" s="62"/>
      <c r="E267" s="63"/>
      <c r="F267" s="63"/>
      <c r="G267" s="62"/>
      <c r="H267" s="64"/>
      <c r="I267" s="65" t="str">
        <f t="shared" si="4"/>
        <v/>
      </c>
      <c r="S267" s="60" t="str">
        <f>IF($G267="","",$G267&amp;"#"&amp;COUNTIF($G$10:$G267,$G267))</f>
        <v/>
      </c>
    </row>
    <row r="268" spans="2:19" ht="18.75" customHeight="1" x14ac:dyDescent="0.2">
      <c r="B268" s="54"/>
      <c r="C268" s="55"/>
      <c r="D268" s="55"/>
      <c r="E268" s="56"/>
      <c r="F268" s="56"/>
      <c r="G268" s="55"/>
      <c r="H268" s="57"/>
      <c r="I268" s="58" t="str">
        <f t="shared" si="4"/>
        <v/>
      </c>
      <c r="S268" s="60" t="str">
        <f>IF($G268="","",$G268&amp;"#"&amp;COUNTIF($G$10:$G268,$G268))</f>
        <v/>
      </c>
    </row>
    <row r="269" spans="2:19" ht="18.75" customHeight="1" x14ac:dyDescent="0.2">
      <c r="B269" s="61"/>
      <c r="C269" s="62"/>
      <c r="D269" s="62"/>
      <c r="E269" s="63"/>
      <c r="F269" s="63"/>
      <c r="G269" s="62"/>
      <c r="H269" s="64"/>
      <c r="I269" s="65" t="str">
        <f t="shared" si="4"/>
        <v/>
      </c>
      <c r="S269" s="60" t="str">
        <f>IF($G269="","",$G269&amp;"#"&amp;COUNTIF($G$10:$G269,$G269))</f>
        <v/>
      </c>
    </row>
    <row r="270" spans="2:19" ht="18.75" customHeight="1" x14ac:dyDescent="0.2">
      <c r="B270" s="54"/>
      <c r="C270" s="55"/>
      <c r="D270" s="55"/>
      <c r="E270" s="56"/>
      <c r="F270" s="56"/>
      <c r="G270" s="55"/>
      <c r="H270" s="57"/>
      <c r="I270" s="58" t="str">
        <f t="shared" si="4"/>
        <v/>
      </c>
      <c r="S270" s="60" t="str">
        <f>IF($G270="","",$G270&amp;"#"&amp;COUNTIF($G$10:$G270,$G270))</f>
        <v/>
      </c>
    </row>
    <row r="271" spans="2:19" ht="18.75" customHeight="1" x14ac:dyDescent="0.2">
      <c r="B271" s="61"/>
      <c r="C271" s="62"/>
      <c r="D271" s="62"/>
      <c r="E271" s="63"/>
      <c r="F271" s="63"/>
      <c r="G271" s="62"/>
      <c r="H271" s="64"/>
      <c r="I271" s="65" t="str">
        <f t="shared" si="4"/>
        <v/>
      </c>
      <c r="S271" s="60" t="str">
        <f>IF($G271="","",$G271&amp;"#"&amp;COUNTIF($G$10:$G271,$G271))</f>
        <v/>
      </c>
    </row>
    <row r="272" spans="2:19" ht="18.75" customHeight="1" x14ac:dyDescent="0.2">
      <c r="B272" s="54"/>
      <c r="C272" s="55"/>
      <c r="D272" s="55"/>
      <c r="E272" s="56"/>
      <c r="F272" s="56"/>
      <c r="G272" s="55"/>
      <c r="H272" s="57"/>
      <c r="I272" s="58" t="str">
        <f t="shared" si="4"/>
        <v/>
      </c>
      <c r="S272" s="60" t="str">
        <f>IF($G272="","",$G272&amp;"#"&amp;COUNTIF($G$10:$G272,$G272))</f>
        <v/>
      </c>
    </row>
    <row r="273" spans="2:19" ht="18.75" customHeight="1" x14ac:dyDescent="0.2">
      <c r="B273" s="61"/>
      <c r="C273" s="62"/>
      <c r="D273" s="62"/>
      <c r="E273" s="63"/>
      <c r="F273" s="63"/>
      <c r="G273" s="62"/>
      <c r="H273" s="64"/>
      <c r="I273" s="65" t="str">
        <f t="shared" si="4"/>
        <v/>
      </c>
      <c r="S273" s="60" t="str">
        <f>IF($G273="","",$G273&amp;"#"&amp;COUNTIF($G$10:$G273,$G273))</f>
        <v/>
      </c>
    </row>
    <row r="274" spans="2:19" ht="18.75" customHeight="1" x14ac:dyDescent="0.2">
      <c r="B274" s="54"/>
      <c r="C274" s="55"/>
      <c r="D274" s="55"/>
      <c r="E274" s="56"/>
      <c r="F274" s="56"/>
      <c r="G274" s="55"/>
      <c r="H274" s="57"/>
      <c r="I274" s="58" t="str">
        <f t="shared" si="4"/>
        <v/>
      </c>
      <c r="S274" s="60" t="str">
        <f>IF($G274="","",$G274&amp;"#"&amp;COUNTIF($G$10:$G274,$G274))</f>
        <v/>
      </c>
    </row>
    <row r="275" spans="2:19" ht="18.75" customHeight="1" x14ac:dyDescent="0.2">
      <c r="B275" s="61"/>
      <c r="C275" s="62"/>
      <c r="D275" s="62"/>
      <c r="E275" s="63"/>
      <c r="F275" s="63"/>
      <c r="G275" s="62"/>
      <c r="H275" s="64"/>
      <c r="I275" s="65" t="str">
        <f t="shared" si="4"/>
        <v/>
      </c>
      <c r="S275" s="60" t="str">
        <f>IF($G275="","",$G275&amp;"#"&amp;COUNTIF($G$10:$G275,$G275))</f>
        <v/>
      </c>
    </row>
    <row r="276" spans="2:19" ht="18.75" customHeight="1" x14ac:dyDescent="0.2">
      <c r="B276" s="54"/>
      <c r="C276" s="55"/>
      <c r="D276" s="55"/>
      <c r="E276" s="56"/>
      <c r="F276" s="56"/>
      <c r="G276" s="55"/>
      <c r="H276" s="57"/>
      <c r="I276" s="58" t="str">
        <f t="shared" si="4"/>
        <v/>
      </c>
      <c r="S276" s="60" t="str">
        <f>IF($G276="","",$G276&amp;"#"&amp;COUNTIF($G$10:$G276,$G276))</f>
        <v/>
      </c>
    </row>
    <row r="277" spans="2:19" ht="18.75" customHeight="1" x14ac:dyDescent="0.2">
      <c r="B277" s="61"/>
      <c r="C277" s="62"/>
      <c r="D277" s="62"/>
      <c r="E277" s="63"/>
      <c r="F277" s="63"/>
      <c r="G277" s="62"/>
      <c r="H277" s="64"/>
      <c r="I277" s="65" t="str">
        <f t="shared" si="4"/>
        <v/>
      </c>
      <c r="S277" s="60" t="str">
        <f>IF($G277="","",$G277&amp;"#"&amp;COUNTIF($G$10:$G277,$G277))</f>
        <v/>
      </c>
    </row>
    <row r="278" spans="2:19" ht="18.75" customHeight="1" x14ac:dyDescent="0.2">
      <c r="B278" s="54"/>
      <c r="C278" s="55"/>
      <c r="D278" s="55"/>
      <c r="E278" s="56"/>
      <c r="F278" s="56"/>
      <c r="G278" s="55"/>
      <c r="H278" s="57"/>
      <c r="I278" s="58" t="str">
        <f t="shared" si="4"/>
        <v/>
      </c>
      <c r="S278" s="60" t="str">
        <f>IF($G278="","",$G278&amp;"#"&amp;COUNTIF($G$10:$G278,$G278))</f>
        <v/>
      </c>
    </row>
    <row r="279" spans="2:19" ht="18.75" customHeight="1" x14ac:dyDescent="0.2">
      <c r="B279" s="61"/>
      <c r="C279" s="62"/>
      <c r="D279" s="62"/>
      <c r="E279" s="63"/>
      <c r="F279" s="63"/>
      <c r="G279" s="62"/>
      <c r="H279" s="64"/>
      <c r="I279" s="65" t="str">
        <f t="shared" si="4"/>
        <v/>
      </c>
      <c r="S279" s="60" t="str">
        <f>IF($G279="","",$G279&amp;"#"&amp;COUNTIF($G$10:$G279,$G279))</f>
        <v/>
      </c>
    </row>
    <row r="280" spans="2:19" ht="18.75" customHeight="1" x14ac:dyDescent="0.2">
      <c r="B280" s="54"/>
      <c r="C280" s="55"/>
      <c r="D280" s="55"/>
      <c r="E280" s="56"/>
      <c r="F280" s="56"/>
      <c r="G280" s="55"/>
      <c r="H280" s="57"/>
      <c r="I280" s="58" t="str">
        <f t="shared" si="4"/>
        <v/>
      </c>
      <c r="S280" s="60" t="str">
        <f>IF($G280="","",$G280&amp;"#"&amp;COUNTIF($G$10:$G280,$G280))</f>
        <v/>
      </c>
    </row>
    <row r="281" spans="2:19" ht="18.75" customHeight="1" x14ac:dyDescent="0.2">
      <c r="B281" s="61"/>
      <c r="C281" s="62"/>
      <c r="D281" s="62"/>
      <c r="E281" s="63"/>
      <c r="F281" s="63"/>
      <c r="G281" s="62"/>
      <c r="H281" s="64"/>
      <c r="I281" s="65" t="str">
        <f t="shared" si="4"/>
        <v/>
      </c>
      <c r="S281" s="60" t="str">
        <f>IF($G281="","",$G281&amp;"#"&amp;COUNTIF($G$10:$G281,$G281))</f>
        <v/>
      </c>
    </row>
    <row r="282" spans="2:19" ht="18.75" customHeight="1" x14ac:dyDescent="0.2">
      <c r="B282" s="54"/>
      <c r="C282" s="55"/>
      <c r="D282" s="55"/>
      <c r="E282" s="56"/>
      <c r="F282" s="56"/>
      <c r="G282" s="55"/>
      <c r="H282" s="57"/>
      <c r="I282" s="58" t="str">
        <f t="shared" si="4"/>
        <v/>
      </c>
      <c r="S282" s="60" t="str">
        <f>IF($G282="","",$G282&amp;"#"&amp;COUNTIF($G$10:$G282,$G282))</f>
        <v/>
      </c>
    </row>
    <row r="283" spans="2:19" ht="18.75" customHeight="1" x14ac:dyDescent="0.2">
      <c r="B283" s="61"/>
      <c r="C283" s="62"/>
      <c r="D283" s="62"/>
      <c r="E283" s="63"/>
      <c r="F283" s="63"/>
      <c r="G283" s="62"/>
      <c r="H283" s="64"/>
      <c r="I283" s="65" t="str">
        <f t="shared" si="4"/>
        <v/>
      </c>
      <c r="S283" s="60" t="str">
        <f>IF($G283="","",$G283&amp;"#"&amp;COUNTIF($G$10:$G283,$G283))</f>
        <v/>
      </c>
    </row>
    <row r="284" spans="2:19" ht="18.75" customHeight="1" x14ac:dyDescent="0.2">
      <c r="B284" s="54"/>
      <c r="C284" s="55"/>
      <c r="D284" s="55"/>
      <c r="E284" s="56"/>
      <c r="F284" s="56"/>
      <c r="G284" s="55"/>
      <c r="H284" s="57"/>
      <c r="I284" s="58" t="str">
        <f t="shared" si="4"/>
        <v/>
      </c>
      <c r="S284" s="60" t="str">
        <f>IF($G284="","",$G284&amp;"#"&amp;COUNTIF($G$10:$G284,$G284))</f>
        <v/>
      </c>
    </row>
    <row r="285" spans="2:19" ht="18.75" customHeight="1" x14ac:dyDescent="0.2">
      <c r="B285" s="61"/>
      <c r="C285" s="62"/>
      <c r="D285" s="62"/>
      <c r="E285" s="63"/>
      <c r="F285" s="63"/>
      <c r="G285" s="62"/>
      <c r="H285" s="64"/>
      <c r="I285" s="65" t="str">
        <f t="shared" si="4"/>
        <v/>
      </c>
      <c r="S285" s="60" t="str">
        <f>IF($G285="","",$G285&amp;"#"&amp;COUNTIF($G$10:$G285,$G285))</f>
        <v/>
      </c>
    </row>
    <row r="286" spans="2:19" ht="18.75" customHeight="1" x14ac:dyDescent="0.2">
      <c r="B286" s="54"/>
      <c r="C286" s="55"/>
      <c r="D286" s="55"/>
      <c r="E286" s="56"/>
      <c r="F286" s="56"/>
      <c r="G286" s="55"/>
      <c r="H286" s="57"/>
      <c r="I286" s="58" t="str">
        <f t="shared" si="4"/>
        <v/>
      </c>
      <c r="S286" s="60" t="str">
        <f>IF($G286="","",$G286&amp;"#"&amp;COUNTIF($G$10:$G286,$G286))</f>
        <v/>
      </c>
    </row>
    <row r="287" spans="2:19" ht="18.75" customHeight="1" x14ac:dyDescent="0.2">
      <c r="B287" s="61"/>
      <c r="C287" s="62"/>
      <c r="D287" s="62"/>
      <c r="E287" s="63"/>
      <c r="F287" s="63"/>
      <c r="G287" s="62"/>
      <c r="H287" s="64"/>
      <c r="I287" s="65" t="str">
        <f t="shared" si="4"/>
        <v/>
      </c>
      <c r="S287" s="60" t="str">
        <f>IF($G287="","",$G287&amp;"#"&amp;COUNTIF($G$10:$G287,$G287))</f>
        <v/>
      </c>
    </row>
    <row r="288" spans="2:19" ht="18.75" customHeight="1" x14ac:dyDescent="0.2">
      <c r="B288" s="54"/>
      <c r="C288" s="55"/>
      <c r="D288" s="55"/>
      <c r="E288" s="56"/>
      <c r="F288" s="56"/>
      <c r="G288" s="55"/>
      <c r="H288" s="57"/>
      <c r="I288" s="58" t="str">
        <f t="shared" si="4"/>
        <v/>
      </c>
      <c r="S288" s="60" t="str">
        <f>IF($G288="","",$G288&amp;"#"&amp;COUNTIF($G$10:$G288,$G288))</f>
        <v/>
      </c>
    </row>
    <row r="289" spans="2:19" ht="18.75" customHeight="1" x14ac:dyDescent="0.2">
      <c r="B289" s="61"/>
      <c r="C289" s="62"/>
      <c r="D289" s="62"/>
      <c r="E289" s="63"/>
      <c r="F289" s="63"/>
      <c r="G289" s="62"/>
      <c r="H289" s="64"/>
      <c r="I289" s="65" t="str">
        <f t="shared" si="4"/>
        <v/>
      </c>
      <c r="S289" s="60" t="str">
        <f>IF($G289="","",$G289&amp;"#"&amp;COUNTIF($G$10:$G289,$G289))</f>
        <v/>
      </c>
    </row>
    <row r="290" spans="2:19" ht="18.75" customHeight="1" x14ac:dyDescent="0.2">
      <c r="B290" s="54"/>
      <c r="C290" s="55"/>
      <c r="D290" s="55"/>
      <c r="E290" s="56"/>
      <c r="F290" s="56"/>
      <c r="G290" s="55"/>
      <c r="H290" s="57"/>
      <c r="I290" s="58" t="str">
        <f t="shared" si="4"/>
        <v/>
      </c>
      <c r="S290" s="60" t="str">
        <f>IF($G290="","",$G290&amp;"#"&amp;COUNTIF($G$10:$G290,$G290))</f>
        <v/>
      </c>
    </row>
    <row r="291" spans="2:19" ht="18.75" customHeight="1" x14ac:dyDescent="0.2">
      <c r="B291" s="61"/>
      <c r="C291" s="62"/>
      <c r="D291" s="62"/>
      <c r="E291" s="63"/>
      <c r="F291" s="63"/>
      <c r="G291" s="62"/>
      <c r="H291" s="64"/>
      <c r="I291" s="65" t="str">
        <f t="shared" si="4"/>
        <v/>
      </c>
      <c r="S291" s="60" t="str">
        <f>IF($G291="","",$G291&amp;"#"&amp;COUNTIF($G$10:$G291,$G291))</f>
        <v/>
      </c>
    </row>
    <row r="292" spans="2:19" ht="18.75" customHeight="1" x14ac:dyDescent="0.2">
      <c r="B292" s="54"/>
      <c r="C292" s="55"/>
      <c r="D292" s="55"/>
      <c r="E292" s="56"/>
      <c r="F292" s="56"/>
      <c r="G292" s="55"/>
      <c r="H292" s="57"/>
      <c r="I292" s="58" t="str">
        <f t="shared" si="4"/>
        <v/>
      </c>
      <c r="S292" s="60" t="str">
        <f>IF($G292="","",$G292&amp;"#"&amp;COUNTIF($G$10:$G292,$G292))</f>
        <v/>
      </c>
    </row>
    <row r="293" spans="2:19" ht="18.75" customHeight="1" x14ac:dyDescent="0.2">
      <c r="B293" s="61"/>
      <c r="C293" s="62"/>
      <c r="D293" s="62"/>
      <c r="E293" s="63"/>
      <c r="F293" s="63"/>
      <c r="G293" s="62"/>
      <c r="H293" s="64"/>
      <c r="I293" s="65" t="str">
        <f t="shared" si="4"/>
        <v/>
      </c>
      <c r="S293" s="60" t="str">
        <f>IF($G293="","",$G293&amp;"#"&amp;COUNTIF($G$10:$G293,$G293))</f>
        <v/>
      </c>
    </row>
    <row r="294" spans="2:19" ht="18.75" customHeight="1" x14ac:dyDescent="0.2">
      <c r="B294" s="54"/>
      <c r="C294" s="55"/>
      <c r="D294" s="55"/>
      <c r="E294" s="56"/>
      <c r="F294" s="56"/>
      <c r="G294" s="55"/>
      <c r="H294" s="57"/>
      <c r="I294" s="58" t="str">
        <f t="shared" si="4"/>
        <v/>
      </c>
      <c r="S294" s="60" t="str">
        <f>IF($G294="","",$G294&amp;"#"&amp;COUNTIF($G$10:$G294,$G294))</f>
        <v/>
      </c>
    </row>
    <row r="295" spans="2:19" ht="18.75" customHeight="1" x14ac:dyDescent="0.2">
      <c r="B295" s="61"/>
      <c r="C295" s="62"/>
      <c r="D295" s="62"/>
      <c r="E295" s="63"/>
      <c r="F295" s="63"/>
      <c r="G295" s="62"/>
      <c r="H295" s="64"/>
      <c r="I295" s="65" t="str">
        <f t="shared" si="4"/>
        <v/>
      </c>
      <c r="S295" s="60" t="str">
        <f>IF($G295="","",$G295&amp;"#"&amp;COUNTIF($G$10:$G295,$G295))</f>
        <v/>
      </c>
    </row>
    <row r="296" spans="2:19" ht="18.75" customHeight="1" x14ac:dyDescent="0.2">
      <c r="B296" s="54"/>
      <c r="C296" s="55"/>
      <c r="D296" s="55"/>
      <c r="E296" s="56"/>
      <c r="F296" s="56"/>
      <c r="G296" s="55"/>
      <c r="H296" s="57"/>
      <c r="I296" s="58" t="str">
        <f t="shared" si="4"/>
        <v/>
      </c>
      <c r="S296" s="60" t="str">
        <f>IF($G296="","",$G296&amp;"#"&amp;COUNTIF($G$10:$G296,$G296))</f>
        <v/>
      </c>
    </row>
    <row r="297" spans="2:19" ht="18.75" customHeight="1" x14ac:dyDescent="0.2">
      <c r="B297" s="61"/>
      <c r="C297" s="62"/>
      <c r="D297" s="62"/>
      <c r="E297" s="63"/>
      <c r="F297" s="63"/>
      <c r="G297" s="62"/>
      <c r="H297" s="64"/>
      <c r="I297" s="65" t="str">
        <f t="shared" si="4"/>
        <v/>
      </c>
      <c r="S297" s="60" t="str">
        <f>IF($G297="","",$G297&amp;"#"&amp;COUNTIF($G$10:$G297,$G297))</f>
        <v/>
      </c>
    </row>
    <row r="298" spans="2:19" ht="18.75" customHeight="1" x14ac:dyDescent="0.2">
      <c r="B298" s="54"/>
      <c r="C298" s="55"/>
      <c r="D298" s="55"/>
      <c r="E298" s="56"/>
      <c r="F298" s="56"/>
      <c r="G298" s="55"/>
      <c r="H298" s="57"/>
      <c r="I298" s="58" t="str">
        <f t="shared" si="4"/>
        <v/>
      </c>
      <c r="S298" s="60" t="str">
        <f>IF($G298="","",$G298&amp;"#"&amp;COUNTIF($G$10:$G298,$G298))</f>
        <v/>
      </c>
    </row>
    <row r="299" spans="2:19" ht="18.75" customHeight="1" x14ac:dyDescent="0.2">
      <c r="B299" s="61"/>
      <c r="C299" s="62"/>
      <c r="D299" s="62"/>
      <c r="E299" s="63"/>
      <c r="F299" s="63"/>
      <c r="G299" s="62"/>
      <c r="H299" s="64"/>
      <c r="I299" s="65" t="str">
        <f t="shared" si="4"/>
        <v/>
      </c>
      <c r="S299" s="60" t="str">
        <f>IF($G299="","",$G299&amp;"#"&amp;COUNTIF($G$10:$G299,$G299))</f>
        <v/>
      </c>
    </row>
    <row r="300" spans="2:19" ht="18.75" customHeight="1" x14ac:dyDescent="0.2">
      <c r="B300" s="54"/>
      <c r="C300" s="55"/>
      <c r="D300" s="55"/>
      <c r="E300" s="56"/>
      <c r="F300" s="56"/>
      <c r="G300" s="55"/>
      <c r="H300" s="57"/>
      <c r="I300" s="58" t="str">
        <f t="shared" si="4"/>
        <v/>
      </c>
      <c r="S300" s="60" t="str">
        <f>IF($G300="","",$G300&amp;"#"&amp;COUNTIF($G$10:$G300,$G300))</f>
        <v/>
      </c>
    </row>
    <row r="301" spans="2:19" ht="18.75" customHeight="1" x14ac:dyDescent="0.2">
      <c r="B301" s="61"/>
      <c r="C301" s="62"/>
      <c r="D301" s="62"/>
      <c r="E301" s="63"/>
      <c r="F301" s="63"/>
      <c r="G301" s="62"/>
      <c r="H301" s="64"/>
      <c r="I301" s="65" t="str">
        <f t="shared" si="4"/>
        <v/>
      </c>
      <c r="S301" s="60" t="str">
        <f>IF($G301="","",$G301&amp;"#"&amp;COUNTIF($G$10:$G301,$G301))</f>
        <v/>
      </c>
    </row>
    <row r="302" spans="2:19" ht="18.75" customHeight="1" x14ac:dyDescent="0.2">
      <c r="B302" s="54"/>
      <c r="C302" s="55"/>
      <c r="D302" s="55"/>
      <c r="E302" s="56"/>
      <c r="F302" s="56"/>
      <c r="G302" s="55"/>
      <c r="H302" s="57"/>
      <c r="I302" s="58" t="str">
        <f t="shared" si="4"/>
        <v/>
      </c>
      <c r="S302" s="60" t="str">
        <f>IF($G302="","",$G302&amp;"#"&amp;COUNTIF($G$10:$G302,$G302))</f>
        <v/>
      </c>
    </row>
    <row r="303" spans="2:19" ht="18.75" customHeight="1" x14ac:dyDescent="0.2">
      <c r="B303" s="61"/>
      <c r="C303" s="62"/>
      <c r="D303" s="62"/>
      <c r="E303" s="63"/>
      <c r="F303" s="63"/>
      <c r="G303" s="62"/>
      <c r="H303" s="64"/>
      <c r="I303" s="65" t="str">
        <f t="shared" si="4"/>
        <v/>
      </c>
      <c r="S303" s="60" t="str">
        <f>IF($G303="","",$G303&amp;"#"&amp;COUNTIF($G$10:$G303,$G303))</f>
        <v/>
      </c>
    </row>
    <row r="304" spans="2:19" ht="18.75" customHeight="1" x14ac:dyDescent="0.2">
      <c r="B304" s="54"/>
      <c r="C304" s="55"/>
      <c r="D304" s="55"/>
      <c r="E304" s="56"/>
      <c r="F304" s="56"/>
      <c r="G304" s="55"/>
      <c r="H304" s="57"/>
      <c r="I304" s="58" t="str">
        <f t="shared" si="4"/>
        <v/>
      </c>
      <c r="S304" s="60" t="str">
        <f>IF($G304="","",$G304&amp;"#"&amp;COUNTIF($G$10:$G304,$G304))</f>
        <v/>
      </c>
    </row>
    <row r="305" spans="2:19" ht="18.75" customHeight="1" x14ac:dyDescent="0.2">
      <c r="B305" s="61"/>
      <c r="C305" s="62"/>
      <c r="D305" s="62"/>
      <c r="E305" s="63"/>
      <c r="F305" s="63"/>
      <c r="G305" s="62"/>
      <c r="H305" s="64"/>
      <c r="I305" s="65" t="str">
        <f t="shared" si="4"/>
        <v/>
      </c>
      <c r="S305" s="60" t="str">
        <f>IF($G305="","",$G305&amp;"#"&amp;COUNTIF($G$10:$G305,$G305))</f>
        <v/>
      </c>
    </row>
    <row r="306" spans="2:19" ht="18.75" customHeight="1" x14ac:dyDescent="0.2">
      <c r="B306" s="54"/>
      <c r="C306" s="55"/>
      <c r="D306" s="55"/>
      <c r="E306" s="56"/>
      <c r="F306" s="56"/>
      <c r="G306" s="55"/>
      <c r="H306" s="57"/>
      <c r="I306" s="58" t="str">
        <f t="shared" si="4"/>
        <v/>
      </c>
      <c r="S306" s="60" t="str">
        <f>IF($G306="","",$G306&amp;"#"&amp;COUNTIF($G$10:$G306,$G306))</f>
        <v/>
      </c>
    </row>
    <row r="307" spans="2:19" ht="18.75" customHeight="1" x14ac:dyDescent="0.2">
      <c r="B307" s="61"/>
      <c r="C307" s="62"/>
      <c r="D307" s="62"/>
      <c r="E307" s="63"/>
      <c r="F307" s="63"/>
      <c r="G307" s="62"/>
      <c r="H307" s="64"/>
      <c r="I307" s="65" t="str">
        <f t="shared" si="4"/>
        <v/>
      </c>
      <c r="S307" s="60" t="str">
        <f>IF($G307="","",$G307&amp;"#"&amp;COUNTIF($G$10:$G307,$G307))</f>
        <v/>
      </c>
    </row>
    <row r="308" spans="2:19" ht="18.75" customHeight="1" x14ac:dyDescent="0.2">
      <c r="B308" s="54"/>
      <c r="C308" s="55"/>
      <c r="D308" s="55"/>
      <c r="E308" s="56"/>
      <c r="F308" s="56"/>
      <c r="G308" s="55"/>
      <c r="H308" s="57"/>
      <c r="I308" s="58" t="str">
        <f t="shared" si="4"/>
        <v/>
      </c>
      <c r="S308" s="60" t="str">
        <f>IF($G308="","",$G308&amp;"#"&amp;COUNTIF($G$10:$G308,$G308))</f>
        <v/>
      </c>
    </row>
    <row r="309" spans="2:19" ht="18.75" customHeight="1" x14ac:dyDescent="0.2">
      <c r="B309" s="61"/>
      <c r="C309" s="62"/>
      <c r="D309" s="62"/>
      <c r="E309" s="63"/>
      <c r="F309" s="63"/>
      <c r="G309" s="62"/>
      <c r="H309" s="64"/>
      <c r="I309" s="65" t="str">
        <f t="shared" si="4"/>
        <v/>
      </c>
      <c r="S309" s="60" t="str">
        <f>IF($G309="","",$G309&amp;"#"&amp;COUNTIF($G$10:$G309,$G309))</f>
        <v/>
      </c>
    </row>
    <row r="310" spans="2:19" ht="15" customHeight="1" x14ac:dyDescent="0.2">
      <c r="B310" s="54"/>
      <c r="C310" s="55"/>
      <c r="D310" s="55"/>
      <c r="E310" s="56"/>
      <c r="F310" s="56"/>
      <c r="G310" s="55"/>
      <c r="H310" s="57"/>
    </row>
    <row r="311" spans="2:19" ht="15" customHeight="1" x14ac:dyDescent="0.2">
      <c r="B311" s="61"/>
      <c r="C311" s="62"/>
      <c r="D311" s="62"/>
      <c r="E311" s="63"/>
      <c r="F311" s="63"/>
      <c r="G311" s="62"/>
      <c r="H311" s="64"/>
    </row>
    <row r="312" spans="2:19" ht="15" customHeight="1" x14ac:dyDescent="0.2">
      <c r="B312" s="54"/>
      <c r="C312" s="55"/>
      <c r="D312" s="55"/>
      <c r="E312" s="56"/>
      <c r="F312" s="56"/>
      <c r="G312" s="55"/>
      <c r="H312" s="57"/>
    </row>
    <row r="313" spans="2:19" ht="15" customHeight="1" x14ac:dyDescent="0.2">
      <c r="B313" s="61"/>
      <c r="C313" s="62"/>
      <c r="D313" s="62"/>
      <c r="E313" s="63"/>
      <c r="F313" s="63"/>
      <c r="G313" s="62"/>
      <c r="H313" s="64"/>
    </row>
    <row r="314" spans="2:19" ht="15" customHeight="1" x14ac:dyDescent="0.2">
      <c r="B314" s="54"/>
      <c r="C314" s="55"/>
      <c r="D314" s="55"/>
      <c r="E314" s="56"/>
      <c r="F314" s="56"/>
      <c r="G314" s="55"/>
      <c r="H314" s="57"/>
    </row>
    <row r="315" spans="2:19" ht="15" customHeight="1" x14ac:dyDescent="0.2">
      <c r="B315" s="61"/>
      <c r="C315" s="62"/>
      <c r="D315" s="62"/>
      <c r="E315" s="63"/>
      <c r="F315" s="63"/>
      <c r="G315" s="62"/>
      <c r="H315" s="64"/>
    </row>
    <row r="316" spans="2:19" ht="15" customHeight="1" x14ac:dyDescent="0.2">
      <c r="B316" s="54"/>
      <c r="C316" s="55"/>
      <c r="D316" s="55"/>
      <c r="E316" s="56"/>
      <c r="F316" s="56"/>
      <c r="G316" s="55"/>
      <c r="H316" s="57"/>
    </row>
    <row r="317" spans="2:19" ht="15" customHeight="1" x14ac:dyDescent="0.2">
      <c r="B317" s="61"/>
      <c r="C317" s="62"/>
      <c r="D317" s="62"/>
      <c r="E317" s="63"/>
      <c r="F317" s="63"/>
      <c r="G317" s="62"/>
      <c r="H317" s="64"/>
    </row>
    <row r="318" spans="2:19" ht="15" customHeight="1" x14ac:dyDescent="0.2">
      <c r="B318" s="54"/>
      <c r="C318" s="55"/>
      <c r="D318" s="55"/>
      <c r="E318" s="56"/>
      <c r="F318" s="56"/>
      <c r="G318" s="55"/>
      <c r="H318" s="57"/>
    </row>
    <row r="319" spans="2:19" ht="15" customHeight="1" x14ac:dyDescent="0.2">
      <c r="B319" s="61"/>
      <c r="C319" s="62"/>
      <c r="D319" s="62"/>
      <c r="E319" s="63"/>
      <c r="F319" s="63"/>
      <c r="G319" s="62"/>
      <c r="H319" s="64"/>
    </row>
    <row r="320" spans="2:19" ht="15" customHeight="1" x14ac:dyDescent="0.2">
      <c r="B320" s="54"/>
      <c r="C320" s="55"/>
      <c r="D320" s="55"/>
      <c r="E320" s="56"/>
      <c r="F320" s="56"/>
      <c r="G320" s="55"/>
      <c r="H320" s="57"/>
    </row>
    <row r="321" spans="2:8" ht="15" customHeight="1" x14ac:dyDescent="0.2">
      <c r="B321" s="61"/>
      <c r="C321" s="62"/>
      <c r="D321" s="62"/>
      <c r="E321" s="63"/>
      <c r="F321" s="63"/>
      <c r="G321" s="62"/>
      <c r="H321" s="64"/>
    </row>
    <row r="322" spans="2:8" ht="15" customHeight="1" x14ac:dyDescent="0.2">
      <c r="B322" s="54"/>
      <c r="C322" s="55"/>
      <c r="D322" s="55"/>
      <c r="E322" s="56"/>
      <c r="F322" s="56"/>
      <c r="G322" s="55"/>
      <c r="H322" s="57"/>
    </row>
    <row r="323" spans="2:8" ht="15" customHeight="1" x14ac:dyDescent="0.2">
      <c r="B323" s="61"/>
      <c r="C323" s="62"/>
      <c r="D323" s="62"/>
      <c r="E323" s="63"/>
      <c r="F323" s="63"/>
      <c r="G323" s="62"/>
      <c r="H323" s="64"/>
    </row>
    <row r="324" spans="2:8" ht="15" customHeight="1" x14ac:dyDescent="0.2">
      <c r="B324" s="54"/>
      <c r="C324" s="55"/>
      <c r="D324" s="55"/>
      <c r="E324" s="56"/>
      <c r="F324" s="56"/>
      <c r="G324" s="55"/>
      <c r="H324" s="57"/>
    </row>
    <row r="325" spans="2:8" ht="15" customHeight="1" x14ac:dyDescent="0.2">
      <c r="B325" s="61"/>
      <c r="C325" s="62"/>
      <c r="D325" s="62"/>
      <c r="E325" s="63"/>
      <c r="F325" s="63"/>
      <c r="G325" s="62"/>
      <c r="H325" s="64"/>
    </row>
    <row r="326" spans="2:8" ht="15" customHeight="1" x14ac:dyDescent="0.2">
      <c r="B326" s="54"/>
      <c r="C326" s="55"/>
      <c r="D326" s="55"/>
      <c r="E326" s="56"/>
      <c r="F326" s="56"/>
      <c r="G326" s="55"/>
      <c r="H326" s="57"/>
    </row>
    <row r="327" spans="2:8" ht="15" customHeight="1" x14ac:dyDescent="0.2">
      <c r="B327" s="61"/>
      <c r="C327" s="62"/>
      <c r="D327" s="62"/>
      <c r="E327" s="63"/>
      <c r="F327" s="63"/>
      <c r="G327" s="62"/>
      <c r="H327" s="64"/>
    </row>
    <row r="328" spans="2:8" ht="15" customHeight="1" x14ac:dyDescent="0.2">
      <c r="B328" s="54"/>
      <c r="C328" s="55"/>
      <c r="D328" s="55"/>
      <c r="E328" s="56"/>
      <c r="F328" s="56"/>
      <c r="G328" s="55"/>
      <c r="H328" s="57"/>
    </row>
    <row r="329" spans="2:8" ht="15" customHeight="1" x14ac:dyDescent="0.2">
      <c r="B329" s="61"/>
      <c r="C329" s="62"/>
      <c r="D329" s="62"/>
      <c r="E329" s="63"/>
      <c r="F329" s="63"/>
      <c r="G329" s="62"/>
      <c r="H329" s="64"/>
    </row>
    <row r="330" spans="2:8" ht="15" customHeight="1" x14ac:dyDescent="0.2">
      <c r="B330" s="54"/>
      <c r="C330" s="55"/>
      <c r="D330" s="55"/>
      <c r="E330" s="56"/>
      <c r="F330" s="56"/>
      <c r="G330" s="55"/>
      <c r="H330" s="57"/>
    </row>
    <row r="331" spans="2:8" ht="15" customHeight="1" x14ac:dyDescent="0.2">
      <c r="B331" s="61"/>
      <c r="C331" s="62"/>
      <c r="D331" s="62"/>
      <c r="E331" s="63"/>
      <c r="F331" s="63"/>
      <c r="G331" s="62"/>
      <c r="H331" s="64"/>
    </row>
    <row r="332" spans="2:8" ht="15" customHeight="1" x14ac:dyDescent="0.2">
      <c r="B332" s="54"/>
      <c r="C332" s="55"/>
      <c r="D332" s="55"/>
      <c r="E332" s="56"/>
      <c r="F332" s="56"/>
      <c r="G332" s="55"/>
      <c r="H332" s="57"/>
    </row>
    <row r="333" spans="2:8" ht="15" customHeight="1" x14ac:dyDescent="0.2">
      <c r="B333" s="61"/>
      <c r="C333" s="62"/>
      <c r="D333" s="62"/>
      <c r="E333" s="63"/>
      <c r="F333" s="63"/>
      <c r="G333" s="62"/>
      <c r="H333" s="64"/>
    </row>
    <row r="334" spans="2:8" ht="15" customHeight="1" x14ac:dyDescent="0.2">
      <c r="B334" s="54"/>
      <c r="C334" s="55"/>
      <c r="D334" s="55"/>
      <c r="E334" s="56"/>
      <c r="F334" s="56"/>
      <c r="G334" s="55"/>
      <c r="H334" s="57"/>
    </row>
    <row r="335" spans="2:8" ht="15" customHeight="1" x14ac:dyDescent="0.2">
      <c r="B335" s="61"/>
      <c r="C335" s="62"/>
      <c r="D335" s="62"/>
      <c r="E335" s="63"/>
      <c r="F335" s="63"/>
      <c r="G335" s="62"/>
      <c r="H335" s="64"/>
    </row>
    <row r="336" spans="2:8" ht="15" customHeight="1" x14ac:dyDescent="0.2">
      <c r="B336" s="54"/>
      <c r="C336" s="55"/>
      <c r="D336" s="55"/>
      <c r="E336" s="56"/>
      <c r="F336" s="56"/>
      <c r="G336" s="55"/>
      <c r="H336" s="57"/>
    </row>
    <row r="337" spans="2:8" ht="15" customHeight="1" x14ac:dyDescent="0.2">
      <c r="B337" s="61"/>
      <c r="C337" s="62"/>
      <c r="D337" s="62"/>
      <c r="E337" s="63"/>
      <c r="F337" s="63"/>
      <c r="G337" s="62"/>
      <c r="H337" s="64"/>
    </row>
    <row r="338" spans="2:8" ht="15" customHeight="1" x14ac:dyDescent="0.2">
      <c r="B338" s="54"/>
      <c r="C338" s="55"/>
      <c r="D338" s="55"/>
      <c r="E338" s="56"/>
      <c r="F338" s="56"/>
      <c r="G338" s="55"/>
      <c r="H338" s="57"/>
    </row>
    <row r="339" spans="2:8" ht="15" customHeight="1" x14ac:dyDescent="0.2">
      <c r="B339" s="61"/>
      <c r="C339" s="62"/>
      <c r="D339" s="62"/>
      <c r="E339" s="63"/>
      <c r="F339" s="63"/>
      <c r="G339" s="62"/>
      <c r="H339" s="64"/>
    </row>
    <row r="340" spans="2:8" ht="15" customHeight="1" x14ac:dyDescent="0.2">
      <c r="B340" s="54"/>
      <c r="C340" s="55"/>
      <c r="D340" s="55"/>
      <c r="E340" s="56"/>
      <c r="F340" s="56"/>
      <c r="G340" s="55"/>
      <c r="H340" s="57"/>
    </row>
    <row r="341" spans="2:8" ht="15" customHeight="1" x14ac:dyDescent="0.2">
      <c r="B341" s="61"/>
      <c r="C341" s="62"/>
      <c r="D341" s="62"/>
      <c r="E341" s="63"/>
      <c r="F341" s="63"/>
      <c r="G341" s="62"/>
      <c r="H341" s="64"/>
    </row>
    <row r="342" spans="2:8" ht="15" customHeight="1" x14ac:dyDescent="0.2">
      <c r="B342" s="54"/>
      <c r="C342" s="55"/>
      <c r="D342" s="55"/>
      <c r="E342" s="56"/>
      <c r="F342" s="56"/>
      <c r="G342" s="55"/>
      <c r="H342" s="57"/>
    </row>
    <row r="343" spans="2:8" ht="15" customHeight="1" x14ac:dyDescent="0.2">
      <c r="B343" s="61"/>
      <c r="C343" s="62"/>
      <c r="D343" s="62"/>
      <c r="E343" s="63"/>
      <c r="F343" s="63"/>
      <c r="G343" s="62"/>
      <c r="H343" s="64"/>
    </row>
    <row r="344" spans="2:8" ht="15" customHeight="1" x14ac:dyDescent="0.2">
      <c r="B344" s="54"/>
      <c r="C344" s="55"/>
      <c r="D344" s="55"/>
      <c r="E344" s="56"/>
      <c r="F344" s="56"/>
      <c r="G344" s="55"/>
      <c r="H344" s="57"/>
    </row>
    <row r="345" spans="2:8" ht="15" customHeight="1" x14ac:dyDescent="0.2">
      <c r="B345" s="61"/>
      <c r="C345" s="62"/>
      <c r="D345" s="62"/>
      <c r="E345" s="63"/>
      <c r="F345" s="63"/>
      <c r="G345" s="62"/>
      <c r="H345" s="64"/>
    </row>
    <row r="346" spans="2:8" ht="15" customHeight="1" x14ac:dyDescent="0.2">
      <c r="B346" s="54"/>
      <c r="C346" s="55"/>
      <c r="D346" s="55"/>
      <c r="E346" s="56"/>
      <c r="F346" s="56"/>
      <c r="G346" s="55"/>
      <c r="H346" s="57"/>
    </row>
    <row r="347" spans="2:8" ht="15" customHeight="1" x14ac:dyDescent="0.2">
      <c r="B347" s="61"/>
      <c r="C347" s="62"/>
      <c r="D347" s="62"/>
      <c r="E347" s="63"/>
      <c r="F347" s="63"/>
      <c r="G347" s="62"/>
      <c r="H347" s="64"/>
    </row>
    <row r="348" spans="2:8" ht="15" customHeight="1" x14ac:dyDescent="0.2">
      <c r="B348" s="54"/>
      <c r="C348" s="55"/>
      <c r="D348" s="55"/>
      <c r="E348" s="56"/>
      <c r="F348" s="56"/>
      <c r="G348" s="55"/>
      <c r="H348" s="57"/>
    </row>
    <row r="349" spans="2:8" ht="15" customHeight="1" x14ac:dyDescent="0.2">
      <c r="B349" s="61"/>
      <c r="C349" s="62"/>
      <c r="D349" s="62"/>
      <c r="E349" s="63"/>
      <c r="F349" s="63"/>
      <c r="G349" s="62"/>
      <c r="H349" s="64"/>
    </row>
    <row r="350" spans="2:8" ht="15" customHeight="1" x14ac:dyDescent="0.2">
      <c r="B350" s="54"/>
      <c r="C350" s="55"/>
      <c r="D350" s="55"/>
      <c r="E350" s="56"/>
      <c r="F350" s="56"/>
      <c r="G350" s="55"/>
      <c r="H350" s="57"/>
    </row>
    <row r="351" spans="2:8" ht="15" customHeight="1" x14ac:dyDescent="0.2">
      <c r="B351" s="61"/>
      <c r="C351" s="62"/>
      <c r="D351" s="62"/>
      <c r="E351" s="63"/>
      <c r="F351" s="63"/>
      <c r="G351" s="62"/>
      <c r="H351" s="64"/>
    </row>
    <row r="352" spans="2:8" ht="15" customHeight="1" x14ac:dyDescent="0.2">
      <c r="B352" s="54"/>
      <c r="C352" s="55"/>
      <c r="D352" s="55"/>
      <c r="E352" s="56"/>
      <c r="F352" s="56"/>
      <c r="G352" s="55"/>
      <c r="H352" s="57"/>
    </row>
    <row r="353" spans="2:8" ht="15" customHeight="1" x14ac:dyDescent="0.2">
      <c r="B353" s="61"/>
      <c r="C353" s="62"/>
      <c r="D353" s="62"/>
      <c r="E353" s="63"/>
      <c r="F353" s="63"/>
      <c r="G353" s="62"/>
      <c r="H353" s="64"/>
    </row>
    <row r="354" spans="2:8" ht="15" customHeight="1" x14ac:dyDescent="0.2">
      <c r="B354" s="54"/>
      <c r="C354" s="55"/>
      <c r="D354" s="55"/>
      <c r="E354" s="56"/>
      <c r="F354" s="56"/>
      <c r="G354" s="55"/>
      <c r="H354" s="57"/>
    </row>
    <row r="355" spans="2:8" ht="15" customHeight="1" x14ac:dyDescent="0.2">
      <c r="B355" s="61"/>
      <c r="C355" s="62"/>
      <c r="D355" s="62"/>
      <c r="E355" s="63"/>
      <c r="F355" s="63"/>
      <c r="G355" s="62"/>
      <c r="H355" s="64"/>
    </row>
    <row r="356" spans="2:8" ht="15" customHeight="1" x14ac:dyDescent="0.2">
      <c r="B356" s="54"/>
      <c r="C356" s="55"/>
      <c r="D356" s="55"/>
      <c r="E356" s="56"/>
      <c r="F356" s="56"/>
      <c r="G356" s="55"/>
      <c r="H356" s="57"/>
    </row>
    <row r="357" spans="2:8" ht="15" customHeight="1" x14ac:dyDescent="0.2">
      <c r="B357" s="61"/>
      <c r="C357" s="62"/>
      <c r="D357" s="62"/>
      <c r="E357" s="63"/>
      <c r="F357" s="63"/>
      <c r="G357" s="62"/>
      <c r="H357" s="64"/>
    </row>
    <row r="358" spans="2:8" ht="15" customHeight="1" x14ac:dyDescent="0.2">
      <c r="B358" s="54"/>
      <c r="C358" s="55"/>
      <c r="D358" s="55"/>
      <c r="E358" s="56"/>
      <c r="F358" s="56"/>
      <c r="G358" s="55"/>
      <c r="H358" s="57"/>
    </row>
    <row r="359" spans="2:8" ht="15" customHeight="1" x14ac:dyDescent="0.2">
      <c r="B359" s="61"/>
      <c r="C359" s="62"/>
      <c r="D359" s="62"/>
      <c r="E359" s="63"/>
      <c r="F359" s="63"/>
      <c r="G359" s="62"/>
      <c r="H359" s="64"/>
    </row>
    <row r="360" spans="2:8" ht="15" customHeight="1" x14ac:dyDescent="0.2">
      <c r="B360" s="54"/>
      <c r="C360" s="55"/>
      <c r="D360" s="55"/>
      <c r="E360" s="56"/>
      <c r="F360" s="56"/>
      <c r="G360" s="55"/>
      <c r="H360" s="57"/>
    </row>
    <row r="361" spans="2:8" ht="15" customHeight="1" x14ac:dyDescent="0.2">
      <c r="B361" s="61"/>
      <c r="C361" s="62"/>
      <c r="D361" s="62"/>
      <c r="E361" s="63"/>
      <c r="F361" s="63"/>
      <c r="G361" s="62"/>
      <c r="H361" s="64"/>
    </row>
    <row r="362" spans="2:8" ht="15" customHeight="1" x14ac:dyDescent="0.2">
      <c r="B362" s="54"/>
      <c r="C362" s="55"/>
      <c r="D362" s="55"/>
      <c r="E362" s="56"/>
      <c r="F362" s="56"/>
      <c r="G362" s="55"/>
      <c r="H362" s="57"/>
    </row>
    <row r="363" spans="2:8" ht="15" customHeight="1" x14ac:dyDescent="0.2">
      <c r="B363" s="61"/>
      <c r="C363" s="62"/>
      <c r="D363" s="62"/>
      <c r="E363" s="63"/>
      <c r="F363" s="63"/>
      <c r="G363" s="62"/>
      <c r="H363" s="64"/>
    </row>
    <row r="364" spans="2:8" ht="15" customHeight="1" x14ac:dyDescent="0.2">
      <c r="B364" s="54"/>
      <c r="C364" s="55"/>
      <c r="D364" s="55"/>
      <c r="E364" s="56"/>
      <c r="F364" s="56"/>
      <c r="G364" s="55"/>
      <c r="H364" s="57"/>
    </row>
    <row r="365" spans="2:8" ht="15" customHeight="1" x14ac:dyDescent="0.2">
      <c r="B365" s="61"/>
      <c r="C365" s="62"/>
      <c r="D365" s="62"/>
      <c r="E365" s="63"/>
      <c r="F365" s="63"/>
      <c r="G365" s="62"/>
      <c r="H365" s="64"/>
    </row>
    <row r="366" spans="2:8" ht="15" customHeight="1" x14ac:dyDescent="0.2">
      <c r="B366" s="54"/>
      <c r="C366" s="55"/>
      <c r="D366" s="55"/>
      <c r="E366" s="56"/>
      <c r="F366" s="56"/>
      <c r="G366" s="55"/>
      <c r="H366" s="57"/>
    </row>
    <row r="367" spans="2:8" ht="15" customHeight="1" x14ac:dyDescent="0.2">
      <c r="B367" s="61"/>
      <c r="C367" s="62"/>
      <c r="D367" s="62"/>
      <c r="E367" s="63"/>
      <c r="F367" s="63"/>
      <c r="G367" s="62"/>
      <c r="H367" s="64"/>
    </row>
    <row r="368" spans="2:8" ht="15" customHeight="1" x14ac:dyDescent="0.2">
      <c r="B368" s="54"/>
      <c r="C368" s="55"/>
      <c r="D368" s="55"/>
      <c r="E368" s="56"/>
      <c r="F368" s="56"/>
      <c r="G368" s="55"/>
      <c r="H368" s="57"/>
    </row>
    <row r="369" spans="2:8" ht="15" customHeight="1" x14ac:dyDescent="0.2">
      <c r="B369" s="61"/>
      <c r="C369" s="62"/>
      <c r="D369" s="62"/>
      <c r="E369" s="63"/>
      <c r="F369" s="63"/>
      <c r="G369" s="62"/>
      <c r="H369" s="64"/>
    </row>
    <row r="370" spans="2:8" ht="15" customHeight="1" x14ac:dyDescent="0.2">
      <c r="B370" s="54"/>
      <c r="C370" s="55"/>
      <c r="D370" s="55"/>
      <c r="E370" s="56"/>
      <c r="F370" s="56"/>
      <c r="G370" s="55"/>
      <c r="H370" s="57"/>
    </row>
    <row r="371" spans="2:8" ht="15" customHeight="1" x14ac:dyDescent="0.2">
      <c r="B371" s="61"/>
      <c r="C371" s="62"/>
      <c r="D371" s="62"/>
      <c r="E371" s="63"/>
      <c r="F371" s="63"/>
      <c r="G371" s="62"/>
      <c r="H371" s="64"/>
    </row>
    <row r="372" spans="2:8" ht="15" customHeight="1" x14ac:dyDescent="0.2">
      <c r="B372" s="54"/>
      <c r="C372" s="55"/>
      <c r="D372" s="55"/>
      <c r="E372" s="56"/>
      <c r="F372" s="56"/>
      <c r="G372" s="55"/>
      <c r="H372" s="57"/>
    </row>
    <row r="373" spans="2:8" ht="15" customHeight="1" x14ac:dyDescent="0.2">
      <c r="B373" s="61"/>
      <c r="C373" s="62"/>
      <c r="D373" s="62"/>
      <c r="E373" s="63"/>
      <c r="F373" s="63"/>
      <c r="G373" s="62"/>
      <c r="H373" s="64"/>
    </row>
    <row r="374" spans="2:8" ht="15" customHeight="1" x14ac:dyDescent="0.2">
      <c r="B374" s="54"/>
      <c r="C374" s="55"/>
      <c r="D374" s="55"/>
      <c r="E374" s="56"/>
      <c r="F374" s="56"/>
      <c r="G374" s="55"/>
      <c r="H374" s="57"/>
    </row>
    <row r="375" spans="2:8" ht="15" customHeight="1" x14ac:dyDescent="0.2">
      <c r="B375" s="61"/>
      <c r="C375" s="62"/>
      <c r="D375" s="62"/>
      <c r="E375" s="63"/>
      <c r="F375" s="63"/>
      <c r="G375" s="62"/>
      <c r="H375" s="64"/>
    </row>
    <row r="376" spans="2:8" ht="15" customHeight="1" x14ac:dyDescent="0.2">
      <c r="B376" s="54"/>
      <c r="C376" s="55"/>
      <c r="D376" s="55"/>
      <c r="E376" s="56"/>
      <c r="F376" s="56"/>
      <c r="G376" s="55"/>
      <c r="H376" s="57"/>
    </row>
    <row r="377" spans="2:8" ht="15" customHeight="1" x14ac:dyDescent="0.2">
      <c r="B377" s="61"/>
      <c r="C377" s="62"/>
      <c r="D377" s="62"/>
      <c r="E377" s="63"/>
      <c r="F377" s="63"/>
      <c r="G377" s="62"/>
      <c r="H377" s="64"/>
    </row>
    <row r="378" spans="2:8" ht="15" customHeight="1" x14ac:dyDescent="0.2">
      <c r="B378" s="54"/>
      <c r="C378" s="55"/>
      <c r="D378" s="55"/>
      <c r="E378" s="56"/>
      <c r="F378" s="56"/>
      <c r="G378" s="55"/>
      <c r="H378" s="57"/>
    </row>
    <row r="379" spans="2:8" ht="15" customHeight="1" x14ac:dyDescent="0.2">
      <c r="B379" s="61"/>
      <c r="C379" s="62"/>
      <c r="D379" s="62"/>
      <c r="E379" s="63"/>
      <c r="F379" s="63"/>
      <c r="G379" s="62"/>
      <c r="H379" s="64"/>
    </row>
    <row r="380" spans="2:8" ht="15" customHeight="1" x14ac:dyDescent="0.2">
      <c r="B380" s="54"/>
      <c r="C380" s="55"/>
      <c r="D380" s="55"/>
      <c r="E380" s="56"/>
      <c r="F380" s="56"/>
      <c r="G380" s="55"/>
      <c r="H380" s="57"/>
    </row>
    <row r="381" spans="2:8" ht="15" customHeight="1" x14ac:dyDescent="0.2">
      <c r="B381" s="61"/>
      <c r="C381" s="62"/>
      <c r="D381" s="62"/>
      <c r="E381" s="63"/>
      <c r="F381" s="63"/>
      <c r="G381" s="62"/>
      <c r="H381" s="64"/>
    </row>
    <row r="382" spans="2:8" ht="15" customHeight="1" x14ac:dyDescent="0.2">
      <c r="B382" s="54"/>
      <c r="C382" s="55"/>
      <c r="D382" s="55"/>
      <c r="E382" s="56"/>
      <c r="F382" s="56"/>
      <c r="G382" s="55"/>
      <c r="H382" s="57"/>
    </row>
    <row r="383" spans="2:8" ht="15" customHeight="1" x14ac:dyDescent="0.2">
      <c r="B383" s="61"/>
      <c r="C383" s="62"/>
      <c r="D383" s="62"/>
      <c r="E383" s="63"/>
      <c r="F383" s="63"/>
      <c r="G383" s="62"/>
      <c r="H383" s="64"/>
    </row>
    <row r="384" spans="2:8" ht="15" customHeight="1" x14ac:dyDescent="0.2">
      <c r="B384" s="54"/>
      <c r="C384" s="55"/>
      <c r="D384" s="55"/>
      <c r="E384" s="56"/>
      <c r="F384" s="56"/>
      <c r="G384" s="55"/>
      <c r="H384" s="57"/>
    </row>
    <row r="385" spans="2:8" ht="15" customHeight="1" x14ac:dyDescent="0.2">
      <c r="B385" s="61"/>
      <c r="C385" s="62"/>
      <c r="D385" s="62"/>
      <c r="E385" s="63"/>
      <c r="F385" s="63"/>
      <c r="G385" s="62"/>
      <c r="H385" s="64"/>
    </row>
    <row r="386" spans="2:8" ht="15" customHeight="1" x14ac:dyDescent="0.2">
      <c r="B386" s="54"/>
      <c r="C386" s="55"/>
      <c r="D386" s="55"/>
      <c r="E386" s="56"/>
      <c r="F386" s="56"/>
      <c r="G386" s="55"/>
      <c r="H386" s="57"/>
    </row>
    <row r="387" spans="2:8" ht="15" customHeight="1" x14ac:dyDescent="0.2">
      <c r="B387" s="61"/>
      <c r="C387" s="62"/>
      <c r="D387" s="62"/>
      <c r="E387" s="63"/>
      <c r="F387" s="63"/>
      <c r="G387" s="62"/>
      <c r="H387" s="64"/>
    </row>
    <row r="388" spans="2:8" ht="15" customHeight="1" x14ac:dyDescent="0.2">
      <c r="B388" s="54"/>
      <c r="C388" s="55"/>
      <c r="D388" s="55"/>
      <c r="E388" s="56"/>
      <c r="F388" s="56"/>
      <c r="G388" s="55"/>
      <c r="H388" s="57"/>
    </row>
    <row r="389" spans="2:8" ht="15" customHeight="1" x14ac:dyDescent="0.2">
      <c r="B389" s="61"/>
      <c r="C389" s="62"/>
      <c r="D389" s="62"/>
      <c r="E389" s="63"/>
      <c r="F389" s="63"/>
      <c r="G389" s="62"/>
      <c r="H389" s="64"/>
    </row>
    <row r="390" spans="2:8" ht="15" customHeight="1" x14ac:dyDescent="0.2">
      <c r="B390" s="54"/>
      <c r="C390" s="55"/>
      <c r="D390" s="55"/>
      <c r="E390" s="56"/>
      <c r="F390" s="56"/>
      <c r="G390" s="55"/>
      <c r="H390" s="57"/>
    </row>
    <row r="391" spans="2:8" ht="15" customHeight="1" x14ac:dyDescent="0.2">
      <c r="B391" s="61"/>
      <c r="C391" s="62"/>
      <c r="D391" s="62"/>
      <c r="E391" s="63"/>
      <c r="F391" s="63"/>
      <c r="G391" s="62"/>
      <c r="H391" s="64"/>
    </row>
    <row r="392" spans="2:8" ht="15" customHeight="1" x14ac:dyDescent="0.2">
      <c r="B392" s="54"/>
      <c r="C392" s="55"/>
      <c r="D392" s="55"/>
      <c r="E392" s="56"/>
      <c r="F392" s="56"/>
      <c r="G392" s="55"/>
      <c r="H392" s="57"/>
    </row>
    <row r="393" spans="2:8" ht="15" customHeight="1" x14ac:dyDescent="0.2">
      <c r="B393" s="61"/>
      <c r="C393" s="62"/>
      <c r="D393" s="62"/>
      <c r="E393" s="63"/>
      <c r="F393" s="63"/>
      <c r="G393" s="62"/>
      <c r="H393" s="64"/>
    </row>
    <row r="394" spans="2:8" ht="15" customHeight="1" x14ac:dyDescent="0.2">
      <c r="B394" s="54"/>
      <c r="C394" s="55"/>
      <c r="D394" s="55"/>
      <c r="E394" s="56"/>
      <c r="F394" s="56"/>
      <c r="G394" s="55"/>
      <c r="H394" s="57"/>
    </row>
    <row r="395" spans="2:8" ht="15" customHeight="1" x14ac:dyDescent="0.2">
      <c r="B395" s="61"/>
      <c r="C395" s="62"/>
      <c r="D395" s="62"/>
      <c r="E395" s="63"/>
      <c r="F395" s="63"/>
      <c r="G395" s="62"/>
      <c r="H395" s="64"/>
    </row>
    <row r="396" spans="2:8" ht="15" customHeight="1" x14ac:dyDescent="0.2">
      <c r="B396" s="54"/>
      <c r="C396" s="55"/>
      <c r="D396" s="55"/>
      <c r="E396" s="56"/>
      <c r="F396" s="56"/>
      <c r="G396" s="55"/>
      <c r="H396" s="57"/>
    </row>
    <row r="397" spans="2:8" ht="15" customHeight="1" x14ac:dyDescent="0.2">
      <c r="B397" s="61"/>
      <c r="C397" s="62"/>
      <c r="D397" s="62"/>
      <c r="E397" s="63"/>
      <c r="F397" s="63"/>
      <c r="G397" s="62"/>
      <c r="H397" s="64"/>
    </row>
    <row r="398" spans="2:8" ht="15" customHeight="1" x14ac:dyDescent="0.2">
      <c r="B398" s="54"/>
      <c r="C398" s="55"/>
      <c r="D398" s="55"/>
      <c r="E398" s="56"/>
      <c r="F398" s="56"/>
      <c r="G398" s="55"/>
      <c r="H398" s="57"/>
    </row>
    <row r="399" spans="2:8" ht="15" customHeight="1" x14ac:dyDescent="0.2">
      <c r="B399" s="61"/>
      <c r="C399" s="62"/>
      <c r="D399" s="62"/>
      <c r="E399" s="63"/>
      <c r="F399" s="63"/>
      <c r="G399" s="62"/>
      <c r="H399" s="64"/>
    </row>
    <row r="400" spans="2:8" ht="15" customHeight="1" x14ac:dyDescent="0.2">
      <c r="B400" s="54"/>
      <c r="C400" s="55"/>
      <c r="D400" s="55"/>
      <c r="E400" s="56"/>
      <c r="F400" s="56"/>
      <c r="G400" s="55"/>
      <c r="H400" s="57"/>
    </row>
    <row r="401" spans="2:8" ht="15" customHeight="1" x14ac:dyDescent="0.2">
      <c r="B401" s="61"/>
      <c r="C401" s="62"/>
      <c r="D401" s="62"/>
      <c r="E401" s="63"/>
      <c r="F401" s="63"/>
      <c r="G401" s="62"/>
      <c r="H401" s="64"/>
    </row>
    <row r="402" spans="2:8" ht="15" customHeight="1" x14ac:dyDescent="0.2">
      <c r="B402" s="54"/>
      <c r="C402" s="55"/>
      <c r="D402" s="55"/>
      <c r="E402" s="56"/>
      <c r="F402" s="56"/>
      <c r="G402" s="55"/>
      <c r="H402" s="57"/>
    </row>
    <row r="403" spans="2:8" ht="15" customHeight="1" x14ac:dyDescent="0.2">
      <c r="B403" s="61"/>
      <c r="C403" s="62"/>
      <c r="D403" s="62"/>
      <c r="E403" s="63"/>
      <c r="F403" s="63"/>
      <c r="G403" s="62"/>
      <c r="H403" s="64"/>
    </row>
    <row r="404" spans="2:8" ht="15" customHeight="1" x14ac:dyDescent="0.2">
      <c r="B404" s="54"/>
      <c r="C404" s="55"/>
      <c r="D404" s="55"/>
      <c r="E404" s="56"/>
      <c r="F404" s="56"/>
      <c r="G404" s="55"/>
      <c r="H404" s="57"/>
    </row>
    <row r="405" spans="2:8" ht="15" customHeight="1" x14ac:dyDescent="0.2">
      <c r="B405" s="61"/>
      <c r="C405" s="62"/>
      <c r="D405" s="62"/>
      <c r="E405" s="63"/>
      <c r="F405" s="63"/>
      <c r="G405" s="62"/>
      <c r="H405" s="64"/>
    </row>
    <row r="406" spans="2:8" ht="15" customHeight="1" x14ac:dyDescent="0.2">
      <c r="B406" s="54"/>
      <c r="C406" s="55"/>
      <c r="D406" s="55"/>
      <c r="E406" s="56"/>
      <c r="F406" s="56"/>
      <c r="G406" s="55"/>
      <c r="H406" s="57"/>
    </row>
    <row r="407" spans="2:8" ht="15" customHeight="1" x14ac:dyDescent="0.2">
      <c r="B407" s="61"/>
      <c r="C407" s="62"/>
      <c r="D407" s="62"/>
      <c r="E407" s="63"/>
      <c r="F407" s="63"/>
      <c r="G407" s="62"/>
      <c r="H407" s="64"/>
    </row>
    <row r="408" spans="2:8" ht="15" customHeight="1" x14ac:dyDescent="0.2">
      <c r="B408" s="54"/>
      <c r="C408" s="55"/>
      <c r="D408" s="55"/>
      <c r="E408" s="56"/>
      <c r="F408" s="56"/>
      <c r="G408" s="55"/>
      <c r="H408" s="57"/>
    </row>
    <row r="409" spans="2:8" ht="15" customHeight="1" x14ac:dyDescent="0.2">
      <c r="B409" s="61"/>
      <c r="C409" s="62"/>
      <c r="D409" s="62"/>
      <c r="E409" s="63"/>
      <c r="F409" s="63"/>
      <c r="G409" s="62"/>
      <c r="H409" s="64"/>
    </row>
    <row r="410" spans="2:8" ht="15" customHeight="1" x14ac:dyDescent="0.2">
      <c r="B410" s="54"/>
      <c r="C410" s="55"/>
      <c r="D410" s="55"/>
      <c r="E410" s="56"/>
      <c r="F410" s="56"/>
      <c r="G410" s="55"/>
      <c r="H410" s="57"/>
    </row>
    <row r="411" spans="2:8" ht="15" customHeight="1" x14ac:dyDescent="0.2">
      <c r="B411" s="61"/>
      <c r="C411" s="62"/>
      <c r="D411" s="62"/>
      <c r="E411" s="63"/>
      <c r="F411" s="63"/>
      <c r="G411" s="62"/>
      <c r="H411" s="64"/>
    </row>
    <row r="412" spans="2:8" ht="15" customHeight="1" x14ac:dyDescent="0.2">
      <c r="B412" s="54"/>
      <c r="C412" s="55"/>
      <c r="D412" s="55"/>
      <c r="E412" s="56"/>
      <c r="F412" s="56"/>
      <c r="G412" s="55"/>
      <c r="H412" s="57"/>
    </row>
    <row r="413" spans="2:8" ht="15" customHeight="1" x14ac:dyDescent="0.2">
      <c r="B413" s="61"/>
      <c r="C413" s="62"/>
      <c r="D413" s="62"/>
      <c r="E413" s="63"/>
      <c r="F413" s="63"/>
      <c r="G413" s="62"/>
      <c r="H413" s="64"/>
    </row>
    <row r="414" spans="2:8" ht="15" customHeight="1" x14ac:dyDescent="0.2">
      <c r="B414" s="54"/>
      <c r="C414" s="55"/>
      <c r="D414" s="55"/>
      <c r="E414" s="56"/>
      <c r="F414" s="56"/>
      <c r="G414" s="55"/>
      <c r="H414" s="57"/>
    </row>
    <row r="415" spans="2:8" ht="15" customHeight="1" x14ac:dyDescent="0.2">
      <c r="B415" s="61"/>
      <c r="C415" s="62"/>
      <c r="D415" s="62"/>
      <c r="E415" s="63"/>
      <c r="F415" s="63"/>
      <c r="G415" s="62"/>
      <c r="H415" s="64"/>
    </row>
    <row r="416" spans="2:8" ht="15" customHeight="1" x14ac:dyDescent="0.2">
      <c r="B416" s="54"/>
      <c r="C416" s="55"/>
      <c r="D416" s="55"/>
      <c r="E416" s="56"/>
      <c r="F416" s="56"/>
      <c r="G416" s="55"/>
      <c r="H416" s="57"/>
    </row>
    <row r="417" spans="2:8" ht="15" customHeight="1" x14ac:dyDescent="0.2">
      <c r="B417" s="61"/>
      <c r="C417" s="62"/>
      <c r="D417" s="62"/>
      <c r="E417" s="63"/>
      <c r="F417" s="63"/>
      <c r="G417" s="62"/>
      <c r="H417" s="64"/>
    </row>
    <row r="418" spans="2:8" ht="15" customHeight="1" x14ac:dyDescent="0.2">
      <c r="B418" s="54"/>
      <c r="C418" s="55"/>
      <c r="D418" s="55"/>
      <c r="E418" s="56"/>
      <c r="F418" s="56"/>
      <c r="G418" s="55"/>
      <c r="H418" s="57"/>
    </row>
    <row r="419" spans="2:8" ht="15" customHeight="1" x14ac:dyDescent="0.2">
      <c r="B419" s="61"/>
      <c r="C419" s="62"/>
      <c r="D419" s="62"/>
      <c r="E419" s="63"/>
      <c r="F419" s="63"/>
      <c r="G419" s="62"/>
      <c r="H419" s="64"/>
    </row>
    <row r="420" spans="2:8" ht="15" customHeight="1" x14ac:dyDescent="0.2">
      <c r="B420" s="54"/>
      <c r="C420" s="55"/>
      <c r="D420" s="55"/>
      <c r="E420" s="56"/>
      <c r="F420" s="56"/>
      <c r="G420" s="55"/>
      <c r="H420" s="57"/>
    </row>
    <row r="421" spans="2:8" ht="15" customHeight="1" x14ac:dyDescent="0.2">
      <c r="B421" s="61"/>
      <c r="C421" s="62"/>
      <c r="D421" s="62"/>
      <c r="E421" s="63"/>
      <c r="F421" s="63"/>
      <c r="G421" s="62"/>
      <c r="H421" s="64"/>
    </row>
    <row r="422" spans="2:8" ht="15" customHeight="1" x14ac:dyDescent="0.2">
      <c r="B422" s="54"/>
      <c r="C422" s="55"/>
      <c r="D422" s="55"/>
      <c r="E422" s="56"/>
      <c r="F422" s="56"/>
      <c r="G422" s="55"/>
      <c r="H422" s="57"/>
    </row>
    <row r="423" spans="2:8" ht="15" customHeight="1" x14ac:dyDescent="0.2">
      <c r="B423" s="61"/>
      <c r="C423" s="62"/>
      <c r="D423" s="62"/>
      <c r="E423" s="63"/>
      <c r="F423" s="63"/>
      <c r="G423" s="62"/>
      <c r="H423" s="64"/>
    </row>
    <row r="424" spans="2:8" ht="15" customHeight="1" x14ac:dyDescent="0.2">
      <c r="B424" s="54"/>
      <c r="C424" s="55"/>
      <c r="D424" s="55"/>
      <c r="E424" s="56"/>
      <c r="F424" s="56"/>
      <c r="G424" s="55"/>
      <c r="H424" s="57"/>
    </row>
    <row r="425" spans="2:8" ht="15" customHeight="1" x14ac:dyDescent="0.2">
      <c r="B425" s="61"/>
      <c r="C425" s="62"/>
      <c r="D425" s="62"/>
      <c r="E425" s="63"/>
      <c r="F425" s="63"/>
      <c r="G425" s="62"/>
      <c r="H425" s="64"/>
    </row>
    <row r="426" spans="2:8" ht="15" customHeight="1" x14ac:dyDescent="0.2">
      <c r="B426" s="54"/>
      <c r="C426" s="55"/>
      <c r="D426" s="55"/>
      <c r="E426" s="56"/>
      <c r="F426" s="56"/>
      <c r="G426" s="55"/>
      <c r="H426" s="57"/>
    </row>
    <row r="427" spans="2:8" ht="15" customHeight="1" x14ac:dyDescent="0.2">
      <c r="B427" s="61"/>
      <c r="C427" s="62"/>
      <c r="D427" s="62"/>
      <c r="E427" s="63"/>
      <c r="F427" s="63"/>
      <c r="G427" s="62"/>
      <c r="H427" s="64"/>
    </row>
    <row r="428" spans="2:8" ht="15" customHeight="1" x14ac:dyDescent="0.2">
      <c r="B428" s="54"/>
      <c r="C428" s="55"/>
      <c r="D428" s="55"/>
      <c r="E428" s="56"/>
      <c r="F428" s="56"/>
      <c r="G428" s="55"/>
      <c r="H428" s="57"/>
    </row>
    <row r="429" spans="2:8" ht="15" customHeight="1" x14ac:dyDescent="0.2">
      <c r="B429" s="61"/>
      <c r="C429" s="62"/>
      <c r="D429" s="62"/>
      <c r="E429" s="63"/>
      <c r="F429" s="63"/>
      <c r="G429" s="62"/>
      <c r="H429" s="64"/>
    </row>
    <row r="430" spans="2:8" ht="15" customHeight="1" x14ac:dyDescent="0.2">
      <c r="B430" s="54"/>
      <c r="C430" s="55"/>
      <c r="D430" s="55"/>
      <c r="E430" s="56"/>
      <c r="F430" s="56"/>
      <c r="G430" s="55"/>
      <c r="H430" s="57"/>
    </row>
    <row r="431" spans="2:8" ht="15" customHeight="1" x14ac:dyDescent="0.2">
      <c r="B431" s="61"/>
      <c r="C431" s="62"/>
      <c r="D431" s="62"/>
      <c r="E431" s="63"/>
      <c r="F431" s="63"/>
      <c r="G431" s="62"/>
      <c r="H431" s="64"/>
    </row>
    <row r="432" spans="2:8" ht="15" customHeight="1" x14ac:dyDescent="0.2">
      <c r="B432" s="54"/>
      <c r="C432" s="55"/>
      <c r="D432" s="55"/>
      <c r="E432" s="56"/>
      <c r="F432" s="56"/>
      <c r="G432" s="55"/>
      <c r="H432" s="57"/>
    </row>
    <row r="433" spans="2:8" ht="15" customHeight="1" x14ac:dyDescent="0.2">
      <c r="B433" s="61"/>
      <c r="C433" s="62"/>
      <c r="D433" s="62"/>
      <c r="E433" s="63"/>
      <c r="F433" s="63"/>
      <c r="G433" s="62"/>
      <c r="H433" s="64"/>
    </row>
    <row r="434" spans="2:8" ht="15" customHeight="1" x14ac:dyDescent="0.2">
      <c r="B434" s="54"/>
      <c r="C434" s="55"/>
      <c r="D434" s="55"/>
      <c r="E434" s="56"/>
      <c r="F434" s="56"/>
      <c r="G434" s="55"/>
      <c r="H434" s="57"/>
    </row>
    <row r="435" spans="2:8" ht="15" customHeight="1" x14ac:dyDescent="0.2">
      <c r="B435" s="61"/>
      <c r="C435" s="62"/>
      <c r="D435" s="62"/>
      <c r="E435" s="63"/>
      <c r="F435" s="63"/>
      <c r="G435" s="62"/>
      <c r="H435" s="64"/>
    </row>
    <row r="436" spans="2:8" ht="15" customHeight="1" x14ac:dyDescent="0.2">
      <c r="B436" s="54"/>
      <c r="C436" s="55"/>
      <c r="D436" s="55"/>
      <c r="E436" s="56"/>
      <c r="F436" s="56"/>
      <c r="G436" s="55"/>
      <c r="H436" s="57"/>
    </row>
    <row r="437" spans="2:8" ht="15" customHeight="1" x14ac:dyDescent="0.2">
      <c r="B437" s="61"/>
      <c r="C437" s="62"/>
      <c r="D437" s="62"/>
      <c r="E437" s="63"/>
      <c r="F437" s="63"/>
      <c r="G437" s="62"/>
      <c r="H437" s="64"/>
    </row>
    <row r="438" spans="2:8" ht="15" customHeight="1" x14ac:dyDescent="0.2">
      <c r="B438" s="54"/>
      <c r="C438" s="55"/>
      <c r="D438" s="55"/>
      <c r="E438" s="56"/>
      <c r="F438" s="56"/>
      <c r="G438" s="55"/>
      <c r="H438" s="57"/>
    </row>
    <row r="439" spans="2:8" ht="15" customHeight="1" x14ac:dyDescent="0.2">
      <c r="B439" s="61"/>
      <c r="C439" s="62"/>
      <c r="D439" s="62"/>
      <c r="E439" s="63"/>
      <c r="F439" s="63"/>
      <c r="G439" s="62"/>
      <c r="H439" s="64"/>
    </row>
    <row r="440" spans="2:8" ht="15" customHeight="1" x14ac:dyDescent="0.2">
      <c r="B440" s="54"/>
      <c r="C440" s="55"/>
      <c r="D440" s="55"/>
      <c r="E440" s="56"/>
      <c r="F440" s="56"/>
      <c r="G440" s="55"/>
      <c r="H440" s="57"/>
    </row>
    <row r="441" spans="2:8" ht="15" customHeight="1" x14ac:dyDescent="0.2">
      <c r="B441" s="61"/>
      <c r="C441" s="62"/>
      <c r="D441" s="62"/>
      <c r="E441" s="63"/>
      <c r="F441" s="63"/>
      <c r="G441" s="62"/>
      <c r="H441" s="64"/>
    </row>
    <row r="442" spans="2:8" ht="15" customHeight="1" x14ac:dyDescent="0.2">
      <c r="B442" s="54"/>
      <c r="C442" s="55"/>
      <c r="D442" s="55"/>
      <c r="E442" s="56"/>
      <c r="F442" s="56"/>
      <c r="G442" s="55"/>
      <c r="H442" s="57"/>
    </row>
    <row r="443" spans="2:8" ht="15" customHeight="1" x14ac:dyDescent="0.2">
      <c r="B443" s="61"/>
      <c r="C443" s="62"/>
      <c r="D443" s="62"/>
      <c r="E443" s="63"/>
      <c r="F443" s="63"/>
      <c r="G443" s="62"/>
      <c r="H443" s="64"/>
    </row>
    <row r="444" spans="2:8" ht="15" customHeight="1" x14ac:dyDescent="0.2">
      <c r="B444" s="54"/>
      <c r="C444" s="55"/>
      <c r="D444" s="55"/>
      <c r="E444" s="56"/>
      <c r="F444" s="56"/>
      <c r="G444" s="55"/>
      <c r="H444" s="57"/>
    </row>
    <row r="445" spans="2:8" ht="15" customHeight="1" x14ac:dyDescent="0.2">
      <c r="B445" s="61"/>
      <c r="C445" s="62"/>
      <c r="D445" s="62"/>
      <c r="E445" s="63"/>
      <c r="F445" s="63"/>
      <c r="G445" s="62"/>
      <c r="H445" s="64"/>
    </row>
    <row r="446" spans="2:8" ht="15" customHeight="1" x14ac:dyDescent="0.2">
      <c r="B446" s="54"/>
      <c r="C446" s="55"/>
      <c r="D446" s="55"/>
      <c r="E446" s="56"/>
      <c r="F446" s="56"/>
      <c r="G446" s="55"/>
      <c r="H446" s="57"/>
    </row>
    <row r="447" spans="2:8" ht="15" customHeight="1" x14ac:dyDescent="0.2">
      <c r="B447" s="61"/>
      <c r="C447" s="62"/>
      <c r="D447" s="62"/>
      <c r="E447" s="63"/>
      <c r="F447" s="63"/>
      <c r="G447" s="62"/>
      <c r="H447" s="64"/>
    </row>
    <row r="448" spans="2:8" ht="15" customHeight="1" x14ac:dyDescent="0.2">
      <c r="B448" s="54"/>
      <c r="C448" s="55"/>
      <c r="D448" s="55"/>
      <c r="E448" s="56"/>
      <c r="F448" s="56"/>
      <c r="G448" s="55"/>
      <c r="H448" s="57"/>
    </row>
    <row r="449" spans="2:8" ht="15" customHeight="1" x14ac:dyDescent="0.2">
      <c r="B449" s="61"/>
      <c r="C449" s="62"/>
      <c r="D449" s="62"/>
      <c r="E449" s="63"/>
      <c r="F449" s="63"/>
      <c r="G449" s="62"/>
      <c r="H449" s="64"/>
    </row>
    <row r="450" spans="2:8" ht="15" customHeight="1" x14ac:dyDescent="0.2">
      <c r="B450" s="54"/>
      <c r="C450" s="55"/>
      <c r="D450" s="55"/>
      <c r="E450" s="56"/>
      <c r="F450" s="56"/>
      <c r="G450" s="55"/>
      <c r="H450" s="57"/>
    </row>
    <row r="451" spans="2:8" ht="15" customHeight="1" x14ac:dyDescent="0.2">
      <c r="B451" s="61"/>
      <c r="C451" s="62"/>
      <c r="D451" s="62"/>
      <c r="E451" s="63"/>
      <c r="F451" s="63"/>
      <c r="G451" s="62"/>
      <c r="H451" s="64"/>
    </row>
    <row r="452" spans="2:8" ht="15" customHeight="1" x14ac:dyDescent="0.2">
      <c r="B452" s="54"/>
      <c r="C452" s="55"/>
      <c r="D452" s="55"/>
      <c r="E452" s="56"/>
      <c r="F452" s="56"/>
      <c r="G452" s="55"/>
      <c r="H452" s="57"/>
    </row>
    <row r="453" spans="2:8" ht="15" customHeight="1" x14ac:dyDescent="0.2">
      <c r="B453" s="61"/>
      <c r="C453" s="62"/>
      <c r="D453" s="62"/>
      <c r="E453" s="63"/>
      <c r="F453" s="63"/>
      <c r="G453" s="62"/>
      <c r="H453" s="64"/>
    </row>
    <row r="454" spans="2:8" ht="15" customHeight="1" x14ac:dyDescent="0.2">
      <c r="B454" s="54"/>
      <c r="C454" s="55"/>
      <c r="D454" s="55"/>
      <c r="E454" s="56"/>
      <c r="F454" s="56"/>
      <c r="G454" s="55"/>
      <c r="H454" s="57"/>
    </row>
    <row r="455" spans="2:8" ht="15" customHeight="1" x14ac:dyDescent="0.2">
      <c r="B455" s="61"/>
      <c r="C455" s="62"/>
      <c r="D455" s="62"/>
      <c r="E455" s="63"/>
      <c r="F455" s="63"/>
      <c r="G455" s="62"/>
      <c r="H455" s="64"/>
    </row>
    <row r="456" spans="2:8" ht="15" customHeight="1" x14ac:dyDescent="0.2">
      <c r="B456" s="54"/>
      <c r="C456" s="55"/>
      <c r="D456" s="55"/>
      <c r="E456" s="56"/>
      <c r="F456" s="56"/>
      <c r="G456" s="55"/>
      <c r="H456" s="57"/>
    </row>
    <row r="457" spans="2:8" ht="15" customHeight="1" x14ac:dyDescent="0.2">
      <c r="B457" s="61"/>
      <c r="C457" s="62"/>
      <c r="D457" s="62"/>
      <c r="E457" s="63"/>
      <c r="F457" s="63"/>
      <c r="G457" s="62"/>
      <c r="H457" s="64"/>
    </row>
    <row r="458" spans="2:8" ht="15" customHeight="1" x14ac:dyDescent="0.2">
      <c r="B458" s="54"/>
      <c r="C458" s="55"/>
      <c r="D458" s="55"/>
      <c r="E458" s="56"/>
      <c r="F458" s="56"/>
      <c r="G458" s="55"/>
      <c r="H458" s="57"/>
    </row>
    <row r="459" spans="2:8" ht="15" customHeight="1" x14ac:dyDescent="0.2">
      <c r="B459" s="61"/>
      <c r="C459" s="62"/>
      <c r="D459" s="62"/>
      <c r="E459" s="63"/>
      <c r="F459" s="63"/>
      <c r="G459" s="62"/>
      <c r="H459" s="64"/>
    </row>
    <row r="460" spans="2:8" ht="15" customHeight="1" x14ac:dyDescent="0.2">
      <c r="B460" s="54"/>
      <c r="C460" s="55"/>
      <c r="D460" s="55"/>
      <c r="E460" s="56"/>
      <c r="F460" s="56"/>
      <c r="G460" s="55"/>
      <c r="H460" s="57"/>
    </row>
    <row r="461" spans="2:8" ht="15" customHeight="1" x14ac:dyDescent="0.2">
      <c r="B461" s="61"/>
      <c r="C461" s="62"/>
      <c r="D461" s="62"/>
      <c r="E461" s="63"/>
      <c r="F461" s="63"/>
      <c r="G461" s="62"/>
      <c r="H461" s="64"/>
    </row>
    <row r="462" spans="2:8" ht="15" customHeight="1" x14ac:dyDescent="0.2">
      <c r="B462" s="54"/>
      <c r="C462" s="55"/>
      <c r="D462" s="55"/>
      <c r="E462" s="56"/>
      <c r="F462" s="56"/>
      <c r="G462" s="55"/>
      <c r="H462" s="57"/>
    </row>
    <row r="463" spans="2:8" ht="15" customHeight="1" x14ac:dyDescent="0.2">
      <c r="B463" s="61"/>
      <c r="C463" s="62"/>
      <c r="D463" s="62"/>
      <c r="E463" s="63"/>
      <c r="F463" s="63"/>
      <c r="G463" s="62"/>
      <c r="H463" s="64"/>
    </row>
    <row r="464" spans="2:8" ht="15" customHeight="1" x14ac:dyDescent="0.2">
      <c r="B464" s="54"/>
      <c r="C464" s="55"/>
      <c r="D464" s="55"/>
      <c r="E464" s="56"/>
      <c r="F464" s="56"/>
      <c r="G464" s="55"/>
      <c r="H464" s="57"/>
    </row>
    <row r="465" spans="2:8" ht="15" customHeight="1" x14ac:dyDescent="0.2">
      <c r="B465" s="61"/>
      <c r="C465" s="62"/>
      <c r="D465" s="62"/>
      <c r="E465" s="63"/>
      <c r="F465" s="63"/>
      <c r="G465" s="62"/>
      <c r="H465" s="64"/>
    </row>
    <row r="466" spans="2:8" ht="15" customHeight="1" x14ac:dyDescent="0.2">
      <c r="B466" s="54"/>
      <c r="C466" s="55"/>
      <c r="D466" s="55"/>
      <c r="E466" s="56"/>
      <c r="F466" s="56"/>
      <c r="G466" s="55"/>
      <c r="H466" s="57"/>
    </row>
    <row r="467" spans="2:8" ht="15" customHeight="1" x14ac:dyDescent="0.2">
      <c r="B467" s="61"/>
      <c r="C467" s="62"/>
      <c r="D467" s="62"/>
      <c r="E467" s="63"/>
      <c r="F467" s="63"/>
      <c r="G467" s="62"/>
      <c r="H467" s="64"/>
    </row>
    <row r="468" spans="2:8" ht="15" customHeight="1" x14ac:dyDescent="0.2">
      <c r="B468" s="54"/>
      <c r="C468" s="55"/>
      <c r="D468" s="55"/>
      <c r="E468" s="56"/>
      <c r="F468" s="56"/>
      <c r="G468" s="55"/>
      <c r="H468" s="57"/>
    </row>
    <row r="469" spans="2:8" ht="15" customHeight="1" x14ac:dyDescent="0.2">
      <c r="B469" s="61"/>
      <c r="C469" s="62"/>
      <c r="D469" s="62"/>
      <c r="E469" s="63"/>
      <c r="F469" s="63"/>
      <c r="G469" s="62"/>
      <c r="H469" s="64"/>
    </row>
    <row r="470" spans="2:8" ht="15" customHeight="1" x14ac:dyDescent="0.2">
      <c r="B470" s="54"/>
      <c r="C470" s="55"/>
      <c r="D470" s="55"/>
      <c r="E470" s="56"/>
      <c r="F470" s="56"/>
      <c r="G470" s="55"/>
      <c r="H470" s="57"/>
    </row>
    <row r="471" spans="2:8" ht="15" customHeight="1" x14ac:dyDescent="0.2">
      <c r="B471" s="61"/>
      <c r="C471" s="62"/>
      <c r="D471" s="62"/>
      <c r="E471" s="63"/>
      <c r="F471" s="63"/>
      <c r="G471" s="62"/>
      <c r="H471" s="64"/>
    </row>
    <row r="472" spans="2:8" ht="15" customHeight="1" x14ac:dyDescent="0.2">
      <c r="B472" s="54"/>
      <c r="C472" s="55"/>
      <c r="D472" s="55"/>
      <c r="E472" s="56"/>
      <c r="F472" s="56"/>
      <c r="G472" s="55"/>
      <c r="H472" s="57"/>
    </row>
    <row r="473" spans="2:8" ht="15" customHeight="1" x14ac:dyDescent="0.2">
      <c r="B473" s="61"/>
      <c r="C473" s="62"/>
      <c r="D473" s="62"/>
      <c r="E473" s="63"/>
      <c r="F473" s="63"/>
      <c r="G473" s="62"/>
      <c r="H473" s="64"/>
    </row>
    <row r="474" spans="2:8" ht="15" customHeight="1" x14ac:dyDescent="0.2">
      <c r="B474" s="54"/>
      <c r="C474" s="55"/>
      <c r="D474" s="55"/>
      <c r="E474" s="56"/>
      <c r="F474" s="56"/>
      <c r="G474" s="55"/>
      <c r="H474" s="57"/>
    </row>
    <row r="475" spans="2:8" ht="15" customHeight="1" x14ac:dyDescent="0.2">
      <c r="B475" s="61"/>
      <c r="C475" s="62"/>
      <c r="D475" s="62"/>
      <c r="E475" s="63"/>
      <c r="F475" s="63"/>
      <c r="G475" s="62"/>
      <c r="H475" s="64"/>
    </row>
    <row r="476" spans="2:8" ht="15" customHeight="1" x14ac:dyDescent="0.2">
      <c r="B476" s="54"/>
      <c r="C476" s="55"/>
      <c r="D476" s="55"/>
      <c r="E476" s="56"/>
      <c r="F476" s="56"/>
      <c r="G476" s="55"/>
      <c r="H476" s="57"/>
    </row>
    <row r="477" spans="2:8" ht="15" customHeight="1" x14ac:dyDescent="0.2">
      <c r="B477" s="61"/>
      <c r="C477" s="62"/>
      <c r="D477" s="62"/>
      <c r="E477" s="63"/>
      <c r="F477" s="63"/>
      <c r="G477" s="62"/>
      <c r="H477" s="64"/>
    </row>
    <row r="478" spans="2:8" ht="15" customHeight="1" x14ac:dyDescent="0.2">
      <c r="B478" s="54"/>
      <c r="C478" s="55"/>
      <c r="D478" s="55"/>
      <c r="E478" s="56"/>
      <c r="F478" s="56"/>
      <c r="G478" s="55"/>
      <c r="H478" s="57"/>
    </row>
    <row r="479" spans="2:8" ht="15" customHeight="1" x14ac:dyDescent="0.2">
      <c r="B479" s="61"/>
      <c r="C479" s="62"/>
      <c r="D479" s="62"/>
      <c r="E479" s="63"/>
      <c r="F479" s="63"/>
      <c r="G479" s="62"/>
      <c r="H479" s="64"/>
    </row>
    <row r="480" spans="2:8" ht="15" customHeight="1" x14ac:dyDescent="0.2">
      <c r="B480" s="54"/>
      <c r="C480" s="55"/>
      <c r="D480" s="55"/>
      <c r="E480" s="56"/>
      <c r="F480" s="56"/>
      <c r="G480" s="55"/>
      <c r="H480" s="57"/>
    </row>
    <row r="481" spans="2:8" ht="15" customHeight="1" x14ac:dyDescent="0.2">
      <c r="B481" s="61"/>
      <c r="C481" s="62"/>
      <c r="D481" s="62"/>
      <c r="E481" s="63"/>
      <c r="F481" s="63"/>
      <c r="G481" s="62"/>
      <c r="H481" s="64"/>
    </row>
    <row r="482" spans="2:8" ht="15" customHeight="1" x14ac:dyDescent="0.2">
      <c r="B482" s="54"/>
      <c r="C482" s="55"/>
      <c r="D482" s="55"/>
      <c r="E482" s="56"/>
      <c r="F482" s="56"/>
      <c r="G482" s="55"/>
      <c r="H482" s="57"/>
    </row>
    <row r="483" spans="2:8" ht="15" customHeight="1" x14ac:dyDescent="0.2">
      <c r="B483" s="61"/>
      <c r="C483" s="62"/>
      <c r="D483" s="62"/>
      <c r="E483" s="63"/>
      <c r="F483" s="63"/>
      <c r="G483" s="62"/>
      <c r="H483" s="64"/>
    </row>
    <row r="484" spans="2:8" ht="15" customHeight="1" x14ac:dyDescent="0.2">
      <c r="B484" s="54"/>
      <c r="C484" s="55"/>
      <c r="D484" s="55"/>
      <c r="E484" s="56"/>
      <c r="F484" s="56"/>
      <c r="G484" s="55"/>
      <c r="H484" s="57"/>
    </row>
    <row r="485" spans="2:8" ht="15" customHeight="1" x14ac:dyDescent="0.2">
      <c r="B485" s="61"/>
      <c r="C485" s="62"/>
      <c r="D485" s="62"/>
      <c r="E485" s="63"/>
      <c r="F485" s="63"/>
      <c r="G485" s="62"/>
      <c r="H485" s="64"/>
    </row>
    <row r="486" spans="2:8" ht="15" customHeight="1" x14ac:dyDescent="0.2">
      <c r="B486" s="54"/>
      <c r="C486" s="55"/>
      <c r="D486" s="55"/>
      <c r="E486" s="56"/>
      <c r="F486" s="56"/>
      <c r="G486" s="55"/>
      <c r="H486" s="57"/>
    </row>
    <row r="487" spans="2:8" ht="15" customHeight="1" x14ac:dyDescent="0.2">
      <c r="B487" s="61"/>
      <c r="C487" s="62"/>
      <c r="D487" s="62"/>
      <c r="E487" s="63"/>
      <c r="F487" s="63"/>
      <c r="G487" s="62"/>
      <c r="H487" s="64"/>
    </row>
    <row r="488" spans="2:8" ht="15" customHeight="1" x14ac:dyDescent="0.2">
      <c r="B488" s="54"/>
      <c r="C488" s="55"/>
      <c r="D488" s="55"/>
      <c r="E488" s="56"/>
      <c r="F488" s="56"/>
      <c r="G488" s="55"/>
      <c r="H488" s="57"/>
    </row>
    <row r="489" spans="2:8" ht="15" customHeight="1" x14ac:dyDescent="0.2">
      <c r="B489" s="61"/>
      <c r="C489" s="62"/>
      <c r="D489" s="62"/>
      <c r="E489" s="63"/>
      <c r="F489" s="63"/>
      <c r="G489" s="62"/>
      <c r="H489" s="64"/>
    </row>
    <row r="490" spans="2:8" ht="15" customHeight="1" x14ac:dyDescent="0.2">
      <c r="B490" s="54"/>
      <c r="C490" s="55"/>
      <c r="D490" s="55"/>
      <c r="E490" s="56"/>
      <c r="F490" s="56"/>
      <c r="G490" s="55"/>
      <c r="H490" s="57"/>
    </row>
    <row r="491" spans="2:8" ht="15" customHeight="1" x14ac:dyDescent="0.2">
      <c r="B491" s="61"/>
      <c r="C491" s="62"/>
      <c r="D491" s="62"/>
      <c r="E491" s="63"/>
      <c r="F491" s="63"/>
      <c r="G491" s="62"/>
      <c r="H491" s="64"/>
    </row>
    <row r="492" spans="2:8" ht="15" customHeight="1" x14ac:dyDescent="0.2">
      <c r="B492" s="54"/>
      <c r="C492" s="55"/>
      <c r="D492" s="55"/>
      <c r="E492" s="56"/>
      <c r="F492" s="56"/>
      <c r="G492" s="55"/>
      <c r="H492" s="57"/>
    </row>
    <row r="493" spans="2:8" ht="15" customHeight="1" x14ac:dyDescent="0.2">
      <c r="B493" s="61"/>
      <c r="C493" s="62"/>
      <c r="D493" s="62"/>
      <c r="E493" s="63"/>
      <c r="F493" s="63"/>
      <c r="G493" s="62"/>
      <c r="H493" s="64"/>
    </row>
    <row r="494" spans="2:8" ht="15" customHeight="1" x14ac:dyDescent="0.2">
      <c r="B494" s="54"/>
      <c r="C494" s="55"/>
      <c r="D494" s="55"/>
      <c r="E494" s="56"/>
      <c r="F494" s="56"/>
      <c r="G494" s="55"/>
      <c r="H494" s="57"/>
    </row>
    <row r="495" spans="2:8" ht="15" customHeight="1" x14ac:dyDescent="0.2">
      <c r="B495" s="61"/>
      <c r="C495" s="62"/>
      <c r="D495" s="62"/>
      <c r="E495" s="63"/>
      <c r="F495" s="63"/>
      <c r="G495" s="62"/>
      <c r="H495" s="64"/>
    </row>
    <row r="496" spans="2:8" ht="15" customHeight="1" x14ac:dyDescent="0.2">
      <c r="B496" s="54"/>
      <c r="C496" s="55"/>
      <c r="D496" s="55"/>
      <c r="E496" s="56"/>
      <c r="F496" s="56"/>
      <c r="G496" s="55"/>
      <c r="H496" s="57"/>
    </row>
    <row r="497" spans="2:8" ht="15" customHeight="1" x14ac:dyDescent="0.2">
      <c r="B497" s="61"/>
      <c r="C497" s="62"/>
      <c r="D497" s="62"/>
      <c r="E497" s="63"/>
      <c r="F497" s="63"/>
      <c r="G497" s="62"/>
      <c r="H497" s="64"/>
    </row>
    <row r="498" spans="2:8" ht="15" customHeight="1" x14ac:dyDescent="0.2">
      <c r="B498" s="54"/>
      <c r="C498" s="55"/>
      <c r="D498" s="55"/>
      <c r="E498" s="56"/>
      <c r="F498" s="56"/>
      <c r="G498" s="55"/>
      <c r="H498" s="57"/>
    </row>
    <row r="499" spans="2:8" ht="15" customHeight="1" x14ac:dyDescent="0.2">
      <c r="B499" s="61"/>
      <c r="C499" s="62"/>
      <c r="D499" s="62"/>
      <c r="E499" s="63"/>
      <c r="F499" s="63"/>
      <c r="G499" s="62"/>
      <c r="H499" s="64"/>
    </row>
    <row r="500" spans="2:8" ht="15" customHeight="1" x14ac:dyDescent="0.2">
      <c r="B500" s="54"/>
      <c r="C500" s="55"/>
      <c r="D500" s="55"/>
      <c r="E500" s="56"/>
      <c r="F500" s="56"/>
      <c r="G500" s="55"/>
      <c r="H500" s="57"/>
    </row>
    <row r="501" spans="2:8" ht="15" customHeight="1" x14ac:dyDescent="0.2">
      <c r="B501" s="61"/>
      <c r="C501" s="62"/>
      <c r="D501" s="62"/>
      <c r="E501" s="63"/>
      <c r="F501" s="63"/>
      <c r="G501" s="62"/>
      <c r="H501" s="64"/>
    </row>
    <row r="502" spans="2:8" ht="15" customHeight="1" x14ac:dyDescent="0.2">
      <c r="B502" s="54"/>
      <c r="C502" s="55"/>
      <c r="D502" s="55"/>
      <c r="E502" s="56"/>
      <c r="F502" s="56"/>
      <c r="G502" s="55"/>
      <c r="H502" s="57"/>
    </row>
    <row r="503" spans="2:8" ht="15" customHeight="1" x14ac:dyDescent="0.2">
      <c r="B503" s="61"/>
      <c r="C503" s="62"/>
      <c r="D503" s="62"/>
      <c r="E503" s="63"/>
      <c r="F503" s="63"/>
      <c r="G503" s="62"/>
      <c r="H503" s="64"/>
    </row>
    <row r="504" spans="2:8" ht="15" customHeight="1" x14ac:dyDescent="0.2">
      <c r="B504" s="54"/>
      <c r="C504" s="55"/>
      <c r="D504" s="55"/>
      <c r="E504" s="56"/>
      <c r="F504" s="56"/>
      <c r="G504" s="55"/>
      <c r="H504" s="57"/>
    </row>
    <row r="505" spans="2:8" ht="15" customHeight="1" x14ac:dyDescent="0.2">
      <c r="B505" s="61"/>
      <c r="C505" s="62"/>
      <c r="D505" s="62"/>
      <c r="E505" s="63"/>
      <c r="F505" s="63"/>
      <c r="G505" s="62"/>
      <c r="H505" s="64"/>
    </row>
    <row r="506" spans="2:8" ht="15" customHeight="1" x14ac:dyDescent="0.2">
      <c r="B506" s="54"/>
      <c r="C506" s="55"/>
      <c r="D506" s="55"/>
      <c r="E506" s="56"/>
      <c r="F506" s="56"/>
      <c r="G506" s="55"/>
      <c r="H506" s="57"/>
    </row>
    <row r="507" spans="2:8" ht="15" customHeight="1" x14ac:dyDescent="0.2">
      <c r="B507" s="61"/>
      <c r="C507" s="62"/>
      <c r="D507" s="62"/>
      <c r="E507" s="63"/>
      <c r="F507" s="63"/>
      <c r="G507" s="62"/>
      <c r="H507" s="64"/>
    </row>
    <row r="508" spans="2:8" ht="15" customHeight="1" x14ac:dyDescent="0.2">
      <c r="B508" s="54"/>
      <c r="C508" s="55"/>
      <c r="D508" s="55"/>
      <c r="E508" s="56"/>
      <c r="F508" s="56"/>
      <c r="G508" s="55"/>
      <c r="H508" s="57"/>
    </row>
    <row r="509" spans="2:8" ht="15" customHeight="1" x14ac:dyDescent="0.2">
      <c r="B509" s="61"/>
      <c r="C509" s="62"/>
      <c r="D509" s="62"/>
      <c r="E509" s="63"/>
      <c r="F509" s="63"/>
      <c r="G509" s="62"/>
      <c r="H509" s="64"/>
    </row>
    <row r="510" spans="2:8" ht="15" customHeight="1" x14ac:dyDescent="0.2">
      <c r="B510" s="54"/>
      <c r="C510" s="55"/>
      <c r="D510" s="55"/>
      <c r="E510" s="56"/>
      <c r="F510" s="56"/>
      <c r="G510" s="55"/>
      <c r="H510" s="57"/>
    </row>
    <row r="511" spans="2:8" ht="15" customHeight="1" x14ac:dyDescent="0.2">
      <c r="B511" s="61"/>
      <c r="C511" s="62"/>
      <c r="D511" s="62"/>
      <c r="E511" s="63"/>
      <c r="F511" s="63"/>
      <c r="G511" s="62"/>
      <c r="H511" s="64"/>
    </row>
    <row r="512" spans="2:8" ht="15" customHeight="1" x14ac:dyDescent="0.2">
      <c r="B512" s="54"/>
      <c r="C512" s="55"/>
      <c r="D512" s="55"/>
      <c r="E512" s="56"/>
      <c r="F512" s="56"/>
      <c r="G512" s="55"/>
      <c r="H512" s="57"/>
    </row>
    <row r="513" spans="2:8" ht="15" customHeight="1" x14ac:dyDescent="0.2">
      <c r="B513" s="61"/>
      <c r="C513" s="62"/>
      <c r="D513" s="62"/>
      <c r="E513" s="63"/>
      <c r="F513" s="63"/>
      <c r="G513" s="62"/>
      <c r="H513" s="64"/>
    </row>
    <row r="514" spans="2:8" ht="15" customHeight="1" x14ac:dyDescent="0.2">
      <c r="B514" s="54"/>
      <c r="C514" s="55"/>
      <c r="D514" s="55"/>
      <c r="E514" s="56"/>
      <c r="F514" s="56"/>
      <c r="G514" s="55"/>
      <c r="H514" s="57"/>
    </row>
    <row r="515" spans="2:8" ht="15" customHeight="1" x14ac:dyDescent="0.2">
      <c r="B515" s="61"/>
      <c r="C515" s="62"/>
      <c r="D515" s="62"/>
      <c r="E515" s="63"/>
      <c r="F515" s="63"/>
      <c r="G515" s="62"/>
      <c r="H515" s="64"/>
    </row>
    <row r="516" spans="2:8" ht="15" customHeight="1" x14ac:dyDescent="0.2">
      <c r="B516" s="54"/>
      <c r="C516" s="55"/>
      <c r="D516" s="55"/>
      <c r="E516" s="56"/>
      <c r="F516" s="56"/>
      <c r="G516" s="55"/>
      <c r="H516" s="57"/>
    </row>
    <row r="517" spans="2:8" ht="15" customHeight="1" x14ac:dyDescent="0.2">
      <c r="B517" s="61"/>
      <c r="C517" s="62"/>
      <c r="D517" s="62"/>
      <c r="E517" s="63"/>
      <c r="F517" s="63"/>
      <c r="G517" s="62"/>
      <c r="H517" s="64"/>
    </row>
    <row r="518" spans="2:8" ht="15" customHeight="1" x14ac:dyDescent="0.2">
      <c r="B518" s="54"/>
      <c r="C518" s="55"/>
      <c r="D518" s="55"/>
      <c r="E518" s="56"/>
      <c r="F518" s="56"/>
      <c r="G518" s="55"/>
      <c r="H518" s="57"/>
    </row>
    <row r="519" spans="2:8" ht="15" customHeight="1" x14ac:dyDescent="0.2">
      <c r="B519" s="61"/>
      <c r="C519" s="62"/>
      <c r="D519" s="62"/>
      <c r="E519" s="63"/>
      <c r="F519" s="63"/>
      <c r="G519" s="62"/>
      <c r="H519" s="64"/>
    </row>
    <row r="520" spans="2:8" ht="15" customHeight="1" x14ac:dyDescent="0.2">
      <c r="B520" s="54"/>
      <c r="C520" s="55"/>
      <c r="D520" s="55"/>
      <c r="E520" s="56"/>
      <c r="F520" s="56"/>
      <c r="G520" s="55"/>
      <c r="H520" s="57"/>
    </row>
    <row r="521" spans="2:8" ht="15" customHeight="1" x14ac:dyDescent="0.2">
      <c r="B521" s="61"/>
      <c r="C521" s="62"/>
      <c r="D521" s="62"/>
      <c r="E521" s="63"/>
      <c r="F521" s="63"/>
      <c r="G521" s="62"/>
      <c r="H521" s="64"/>
    </row>
    <row r="522" spans="2:8" ht="15" customHeight="1" x14ac:dyDescent="0.2">
      <c r="B522" s="54"/>
      <c r="C522" s="55"/>
      <c r="D522" s="55"/>
      <c r="E522" s="56"/>
      <c r="F522" s="56"/>
      <c r="G522" s="55"/>
      <c r="H522" s="57"/>
    </row>
    <row r="523" spans="2:8" ht="15" customHeight="1" x14ac:dyDescent="0.2">
      <c r="B523" s="61"/>
      <c r="C523" s="62"/>
      <c r="D523" s="62"/>
      <c r="E523" s="63"/>
      <c r="F523" s="63"/>
      <c r="G523" s="62"/>
      <c r="H523" s="64"/>
    </row>
    <row r="524" spans="2:8" ht="15" customHeight="1" x14ac:dyDescent="0.2">
      <c r="B524" s="54"/>
      <c r="C524" s="55"/>
      <c r="D524" s="55"/>
      <c r="E524" s="56"/>
      <c r="F524" s="56"/>
      <c r="G524" s="55"/>
      <c r="H524" s="57"/>
    </row>
    <row r="525" spans="2:8" ht="15" customHeight="1" x14ac:dyDescent="0.2">
      <c r="B525" s="61"/>
      <c r="C525" s="62"/>
      <c r="D525" s="62"/>
      <c r="E525" s="63"/>
      <c r="F525" s="63"/>
      <c r="G525" s="62"/>
      <c r="H525" s="64"/>
    </row>
    <row r="526" spans="2:8" ht="15" customHeight="1" x14ac:dyDescent="0.2">
      <c r="B526" s="54"/>
      <c r="C526" s="55"/>
      <c r="D526" s="55"/>
      <c r="E526" s="56"/>
      <c r="F526" s="56"/>
      <c r="G526" s="55"/>
      <c r="H526" s="57"/>
    </row>
    <row r="527" spans="2:8" ht="15" customHeight="1" x14ac:dyDescent="0.2">
      <c r="B527" s="61"/>
      <c r="C527" s="62"/>
      <c r="D527" s="62"/>
      <c r="E527" s="63"/>
      <c r="F527" s="63"/>
      <c r="G527" s="62"/>
      <c r="H527" s="64"/>
    </row>
    <row r="528" spans="2:8" ht="15" customHeight="1" x14ac:dyDescent="0.2">
      <c r="B528" s="54"/>
      <c r="C528" s="55"/>
      <c r="D528" s="55"/>
      <c r="E528" s="56"/>
      <c r="F528" s="56"/>
      <c r="G528" s="55"/>
      <c r="H528" s="57"/>
    </row>
    <row r="529" spans="2:8" ht="15" customHeight="1" x14ac:dyDescent="0.2">
      <c r="B529" s="61"/>
      <c r="C529" s="62"/>
      <c r="D529" s="62"/>
      <c r="E529" s="63"/>
      <c r="F529" s="63"/>
      <c r="G529" s="62"/>
      <c r="H529" s="64"/>
    </row>
    <row r="530" spans="2:8" ht="15" customHeight="1" x14ac:dyDescent="0.2">
      <c r="B530" s="54"/>
      <c r="C530" s="55"/>
      <c r="D530" s="55"/>
      <c r="E530" s="56"/>
      <c r="F530" s="56"/>
      <c r="G530" s="55"/>
      <c r="H530" s="57"/>
    </row>
    <row r="531" spans="2:8" ht="15" customHeight="1" x14ac:dyDescent="0.2">
      <c r="B531" s="61"/>
      <c r="C531" s="62"/>
      <c r="D531" s="62"/>
      <c r="E531" s="63"/>
      <c r="F531" s="63"/>
      <c r="G531" s="62"/>
      <c r="H531" s="64"/>
    </row>
    <row r="532" spans="2:8" ht="15" customHeight="1" x14ac:dyDescent="0.2">
      <c r="B532" s="54"/>
      <c r="C532" s="55"/>
      <c r="D532" s="55"/>
      <c r="E532" s="56"/>
      <c r="F532" s="56"/>
      <c r="G532" s="55"/>
      <c r="H532" s="57"/>
    </row>
    <row r="533" spans="2:8" ht="15" customHeight="1" x14ac:dyDescent="0.2">
      <c r="B533" s="61"/>
      <c r="C533" s="62"/>
      <c r="D533" s="62"/>
      <c r="E533" s="63"/>
      <c r="F533" s="63"/>
      <c r="G533" s="62"/>
      <c r="H533" s="64"/>
    </row>
    <row r="534" spans="2:8" ht="15" customHeight="1" x14ac:dyDescent="0.2">
      <c r="B534" s="54"/>
      <c r="C534" s="55"/>
      <c r="D534" s="55"/>
      <c r="E534" s="56"/>
      <c r="F534" s="56"/>
      <c r="G534" s="55"/>
      <c r="H534" s="57"/>
    </row>
    <row r="535" spans="2:8" ht="15" customHeight="1" x14ac:dyDescent="0.2">
      <c r="B535" s="61"/>
      <c r="C535" s="62"/>
      <c r="D535" s="62"/>
      <c r="E535" s="63"/>
      <c r="F535" s="63"/>
      <c r="G535" s="62"/>
      <c r="H535" s="64"/>
    </row>
    <row r="536" spans="2:8" ht="15" customHeight="1" x14ac:dyDescent="0.2">
      <c r="B536" s="54"/>
      <c r="C536" s="55"/>
      <c r="D536" s="55"/>
      <c r="E536" s="56"/>
      <c r="F536" s="56"/>
      <c r="G536" s="55"/>
      <c r="H536" s="57"/>
    </row>
    <row r="537" spans="2:8" ht="15" customHeight="1" x14ac:dyDescent="0.2">
      <c r="B537" s="61"/>
      <c r="C537" s="62"/>
      <c r="D537" s="62"/>
      <c r="E537" s="63"/>
      <c r="F537" s="63"/>
      <c r="G537" s="62"/>
      <c r="H537" s="64"/>
    </row>
    <row r="538" spans="2:8" ht="15" customHeight="1" x14ac:dyDescent="0.2">
      <c r="B538" s="54"/>
      <c r="C538" s="55"/>
      <c r="D538" s="55"/>
      <c r="E538" s="56"/>
      <c r="F538" s="56"/>
      <c r="G538" s="55"/>
      <c r="H538" s="57"/>
    </row>
    <row r="539" spans="2:8" ht="15" customHeight="1" x14ac:dyDescent="0.2">
      <c r="B539" s="61"/>
      <c r="C539" s="62"/>
      <c r="D539" s="62"/>
      <c r="E539" s="63"/>
      <c r="F539" s="63"/>
      <c r="G539" s="62"/>
      <c r="H539" s="64"/>
    </row>
    <row r="540" spans="2:8" ht="15" customHeight="1" x14ac:dyDescent="0.2">
      <c r="B540" s="54"/>
      <c r="C540" s="55"/>
      <c r="D540" s="55"/>
      <c r="E540" s="56"/>
      <c r="F540" s="56"/>
      <c r="G540" s="55"/>
      <c r="H540" s="57"/>
    </row>
    <row r="541" spans="2:8" ht="15" customHeight="1" x14ac:dyDescent="0.2">
      <c r="B541" s="61"/>
      <c r="C541" s="62"/>
      <c r="D541" s="62"/>
      <c r="E541" s="63"/>
      <c r="F541" s="63"/>
      <c r="G541" s="62"/>
      <c r="H541" s="64"/>
    </row>
    <row r="542" spans="2:8" ht="15" customHeight="1" x14ac:dyDescent="0.2">
      <c r="B542" s="54"/>
      <c r="C542" s="55"/>
      <c r="D542" s="55"/>
      <c r="E542" s="56"/>
      <c r="F542" s="56"/>
      <c r="G542" s="55"/>
      <c r="H542" s="57"/>
    </row>
    <row r="543" spans="2:8" ht="15" customHeight="1" x14ac:dyDescent="0.2">
      <c r="B543" s="61"/>
      <c r="C543" s="62"/>
      <c r="D543" s="62"/>
      <c r="E543" s="63"/>
      <c r="F543" s="63"/>
      <c r="G543" s="62"/>
      <c r="H543" s="64"/>
    </row>
    <row r="544" spans="2:8" ht="15" customHeight="1" x14ac:dyDescent="0.2">
      <c r="B544" s="54"/>
      <c r="C544" s="55"/>
      <c r="D544" s="55"/>
      <c r="E544" s="56"/>
      <c r="F544" s="56"/>
      <c r="G544" s="55"/>
      <c r="H544" s="57"/>
    </row>
    <row r="545" spans="2:8" ht="15" customHeight="1" x14ac:dyDescent="0.2">
      <c r="B545" s="61"/>
      <c r="C545" s="62"/>
      <c r="D545" s="62"/>
      <c r="E545" s="63"/>
      <c r="F545" s="63"/>
      <c r="G545" s="62"/>
      <c r="H545" s="64"/>
    </row>
    <row r="546" spans="2:8" ht="15" customHeight="1" x14ac:dyDescent="0.2">
      <c r="B546" s="54"/>
      <c r="C546" s="55"/>
      <c r="D546" s="55"/>
      <c r="E546" s="56"/>
      <c r="F546" s="56"/>
      <c r="G546" s="55"/>
      <c r="H546" s="57"/>
    </row>
    <row r="547" spans="2:8" ht="15" customHeight="1" x14ac:dyDescent="0.2">
      <c r="B547" s="61"/>
      <c r="C547" s="62"/>
      <c r="D547" s="62"/>
      <c r="E547" s="63"/>
      <c r="F547" s="63"/>
      <c r="G547" s="62"/>
      <c r="H547" s="64"/>
    </row>
    <row r="548" spans="2:8" ht="15" customHeight="1" x14ac:dyDescent="0.2">
      <c r="B548" s="54"/>
      <c r="C548" s="55"/>
      <c r="D548" s="55"/>
      <c r="E548" s="56"/>
      <c r="F548" s="56"/>
      <c r="G548" s="55"/>
      <c r="H548" s="57"/>
    </row>
    <row r="549" spans="2:8" ht="15" customHeight="1" x14ac:dyDescent="0.2">
      <c r="B549" s="61"/>
      <c r="C549" s="62"/>
      <c r="D549" s="62"/>
      <c r="E549" s="63"/>
      <c r="F549" s="63"/>
      <c r="G549" s="62"/>
      <c r="H549" s="64"/>
    </row>
    <row r="550" spans="2:8" ht="15" customHeight="1" x14ac:dyDescent="0.2">
      <c r="B550" s="54"/>
      <c r="C550" s="55"/>
      <c r="D550" s="55"/>
      <c r="E550" s="56"/>
      <c r="F550" s="56"/>
      <c r="G550" s="55"/>
      <c r="H550" s="57"/>
    </row>
    <row r="551" spans="2:8" ht="15" customHeight="1" x14ac:dyDescent="0.2">
      <c r="B551" s="61"/>
      <c r="C551" s="62"/>
      <c r="D551" s="62"/>
      <c r="E551" s="63"/>
      <c r="F551" s="63"/>
      <c r="G551" s="62"/>
      <c r="H551" s="64"/>
    </row>
    <row r="552" spans="2:8" ht="15" customHeight="1" x14ac:dyDescent="0.2">
      <c r="B552" s="54"/>
      <c r="C552" s="55"/>
      <c r="D552" s="55"/>
      <c r="E552" s="56"/>
      <c r="F552" s="56"/>
      <c r="G552" s="55"/>
      <c r="H552" s="57"/>
    </row>
    <row r="553" spans="2:8" ht="15" customHeight="1" x14ac:dyDescent="0.2">
      <c r="B553" s="61"/>
      <c r="C553" s="62"/>
      <c r="D553" s="62"/>
      <c r="E553" s="63"/>
      <c r="F553" s="63"/>
      <c r="G553" s="62"/>
      <c r="H553" s="64"/>
    </row>
    <row r="554" spans="2:8" ht="15" customHeight="1" x14ac:dyDescent="0.2">
      <c r="B554" s="54"/>
      <c r="C554" s="55"/>
      <c r="D554" s="55"/>
      <c r="E554" s="56"/>
      <c r="F554" s="56"/>
      <c r="G554" s="55"/>
      <c r="H554" s="57"/>
    </row>
    <row r="555" spans="2:8" ht="15" customHeight="1" x14ac:dyDescent="0.2">
      <c r="B555" s="61"/>
      <c r="C555" s="62"/>
      <c r="D555" s="62"/>
      <c r="E555" s="63"/>
      <c r="F555" s="63"/>
      <c r="G555" s="62"/>
      <c r="H555" s="64"/>
    </row>
    <row r="556" spans="2:8" ht="15" customHeight="1" x14ac:dyDescent="0.2">
      <c r="B556" s="54"/>
      <c r="C556" s="55"/>
      <c r="D556" s="55"/>
      <c r="E556" s="56"/>
      <c r="F556" s="56"/>
      <c r="G556" s="55"/>
      <c r="H556" s="57"/>
    </row>
    <row r="557" spans="2:8" ht="15" customHeight="1" x14ac:dyDescent="0.2">
      <c r="B557" s="61"/>
      <c r="C557" s="62"/>
      <c r="D557" s="62"/>
      <c r="E557" s="63"/>
      <c r="F557" s="63"/>
      <c r="G557" s="62"/>
      <c r="H557" s="64"/>
    </row>
    <row r="558" spans="2:8" ht="15" customHeight="1" x14ac:dyDescent="0.2">
      <c r="B558" s="54"/>
      <c r="C558" s="55"/>
      <c r="D558" s="55"/>
      <c r="E558" s="56"/>
      <c r="F558" s="56"/>
      <c r="G558" s="55"/>
      <c r="H558" s="57"/>
    </row>
    <row r="559" spans="2:8" ht="15" customHeight="1" x14ac:dyDescent="0.2">
      <c r="B559" s="61"/>
      <c r="C559" s="62"/>
      <c r="D559" s="62"/>
      <c r="E559" s="63"/>
      <c r="F559" s="63"/>
      <c r="G559" s="62"/>
      <c r="H559" s="64"/>
    </row>
    <row r="560" spans="2:8" ht="15" customHeight="1" x14ac:dyDescent="0.2">
      <c r="B560" s="54"/>
      <c r="C560" s="55"/>
      <c r="D560" s="55"/>
      <c r="E560" s="56"/>
      <c r="F560" s="56"/>
      <c r="G560" s="55"/>
      <c r="H560" s="57"/>
    </row>
    <row r="561" spans="2:8" ht="15" customHeight="1" x14ac:dyDescent="0.2">
      <c r="B561" s="61"/>
      <c r="C561" s="62"/>
      <c r="D561" s="62"/>
      <c r="E561" s="63"/>
      <c r="F561" s="63"/>
      <c r="G561" s="62"/>
      <c r="H561" s="64"/>
    </row>
    <row r="562" spans="2:8" ht="15" customHeight="1" x14ac:dyDescent="0.2">
      <c r="B562" s="54"/>
      <c r="C562" s="55"/>
      <c r="D562" s="55"/>
      <c r="E562" s="56"/>
      <c r="F562" s="56"/>
      <c r="G562" s="55"/>
      <c r="H562" s="57"/>
    </row>
    <row r="563" spans="2:8" ht="15" customHeight="1" x14ac:dyDescent="0.2">
      <c r="B563" s="61"/>
      <c r="C563" s="62"/>
      <c r="D563" s="62"/>
      <c r="E563" s="63"/>
      <c r="F563" s="63"/>
      <c r="G563" s="62"/>
      <c r="H563" s="64"/>
    </row>
    <row r="564" spans="2:8" ht="15" customHeight="1" x14ac:dyDescent="0.2">
      <c r="B564" s="54"/>
      <c r="C564" s="55"/>
      <c r="D564" s="55"/>
      <c r="E564" s="56"/>
      <c r="F564" s="56"/>
      <c r="G564" s="55"/>
      <c r="H564" s="57"/>
    </row>
    <row r="565" spans="2:8" ht="15" customHeight="1" x14ac:dyDescent="0.2">
      <c r="B565" s="61"/>
      <c r="C565" s="62"/>
      <c r="D565" s="62"/>
      <c r="E565" s="63"/>
      <c r="F565" s="63"/>
      <c r="G565" s="62"/>
      <c r="H565" s="64"/>
    </row>
    <row r="566" spans="2:8" ht="15" customHeight="1" x14ac:dyDescent="0.2">
      <c r="B566" s="54"/>
      <c r="C566" s="55"/>
      <c r="D566" s="55"/>
      <c r="E566" s="56"/>
      <c r="F566" s="56"/>
      <c r="G566" s="55"/>
      <c r="H566" s="57"/>
    </row>
    <row r="567" spans="2:8" ht="15" customHeight="1" x14ac:dyDescent="0.2">
      <c r="B567" s="61"/>
      <c r="C567" s="62"/>
      <c r="D567" s="62"/>
      <c r="E567" s="63"/>
      <c r="F567" s="63"/>
      <c r="G567" s="62"/>
      <c r="H567" s="64"/>
    </row>
    <row r="568" spans="2:8" ht="15" customHeight="1" x14ac:dyDescent="0.2">
      <c r="B568" s="54"/>
      <c r="C568" s="55"/>
      <c r="D568" s="55"/>
      <c r="E568" s="56"/>
      <c r="F568" s="56"/>
      <c r="G568" s="55"/>
      <c r="H568" s="57"/>
    </row>
    <row r="569" spans="2:8" ht="15" customHeight="1" x14ac:dyDescent="0.2">
      <c r="B569" s="61"/>
      <c r="C569" s="62"/>
      <c r="D569" s="62"/>
      <c r="E569" s="63"/>
      <c r="F569" s="63"/>
      <c r="G569" s="62"/>
      <c r="H569" s="64"/>
    </row>
    <row r="570" spans="2:8" ht="15" customHeight="1" x14ac:dyDescent="0.2">
      <c r="B570" s="54"/>
      <c r="C570" s="55"/>
      <c r="D570" s="55"/>
      <c r="E570" s="56"/>
      <c r="F570" s="56"/>
      <c r="G570" s="55"/>
      <c r="H570" s="57"/>
    </row>
    <row r="571" spans="2:8" ht="15" customHeight="1" x14ac:dyDescent="0.2">
      <c r="B571" s="61"/>
      <c r="C571" s="62"/>
      <c r="D571" s="62"/>
      <c r="E571" s="63"/>
      <c r="F571" s="63"/>
      <c r="G571" s="62"/>
      <c r="H571" s="64"/>
    </row>
    <row r="572" spans="2:8" ht="15" customHeight="1" x14ac:dyDescent="0.2">
      <c r="B572" s="54"/>
      <c r="C572" s="55"/>
      <c r="D572" s="55"/>
      <c r="E572" s="56"/>
      <c r="F572" s="56"/>
      <c r="G572" s="55"/>
      <c r="H572" s="57"/>
    </row>
    <row r="573" spans="2:8" ht="15" customHeight="1" x14ac:dyDescent="0.2">
      <c r="B573" s="61"/>
      <c r="C573" s="62"/>
      <c r="D573" s="62"/>
      <c r="E573" s="63"/>
      <c r="F573" s="63"/>
      <c r="G573" s="62"/>
      <c r="H573" s="64"/>
    </row>
    <row r="574" spans="2:8" ht="15" customHeight="1" x14ac:dyDescent="0.2">
      <c r="B574" s="54"/>
      <c r="C574" s="55"/>
      <c r="D574" s="55"/>
      <c r="E574" s="56"/>
      <c r="F574" s="56"/>
      <c r="G574" s="55"/>
      <c r="H574" s="57"/>
    </row>
    <row r="575" spans="2:8" ht="15" customHeight="1" x14ac:dyDescent="0.2">
      <c r="B575" s="61"/>
      <c r="C575" s="62"/>
      <c r="D575" s="62"/>
      <c r="E575" s="63"/>
      <c r="F575" s="63"/>
      <c r="G575" s="62"/>
      <c r="H575" s="64"/>
    </row>
    <row r="576" spans="2:8" ht="15" customHeight="1" x14ac:dyDescent="0.2">
      <c r="B576" s="54"/>
      <c r="C576" s="55"/>
      <c r="D576" s="55"/>
      <c r="E576" s="56"/>
      <c r="F576" s="56"/>
      <c r="G576" s="55"/>
      <c r="H576" s="57"/>
    </row>
    <row r="577" spans="2:8" ht="15" customHeight="1" x14ac:dyDescent="0.2">
      <c r="B577" s="61"/>
      <c r="C577" s="62"/>
      <c r="D577" s="62"/>
      <c r="E577" s="63"/>
      <c r="F577" s="63"/>
      <c r="G577" s="62"/>
      <c r="H577" s="64"/>
    </row>
    <row r="578" spans="2:8" ht="15" customHeight="1" x14ac:dyDescent="0.2">
      <c r="B578" s="54"/>
      <c r="C578" s="55"/>
      <c r="D578" s="55"/>
      <c r="E578" s="56"/>
      <c r="F578" s="56"/>
      <c r="G578" s="55"/>
      <c r="H578" s="57"/>
    </row>
    <row r="579" spans="2:8" ht="15" customHeight="1" x14ac:dyDescent="0.2">
      <c r="B579" s="61"/>
      <c r="C579" s="62"/>
      <c r="D579" s="62"/>
      <c r="E579" s="63"/>
      <c r="F579" s="63"/>
      <c r="G579" s="62"/>
      <c r="H579" s="64"/>
    </row>
    <row r="580" spans="2:8" ht="15" customHeight="1" x14ac:dyDescent="0.2">
      <c r="B580" s="54"/>
      <c r="C580" s="55"/>
      <c r="D580" s="55"/>
      <c r="E580" s="56"/>
      <c r="F580" s="56"/>
      <c r="G580" s="55"/>
      <c r="H580" s="57"/>
    </row>
    <row r="581" spans="2:8" ht="15" customHeight="1" x14ac:dyDescent="0.2">
      <c r="B581" s="61"/>
      <c r="C581" s="62"/>
      <c r="D581" s="62"/>
      <c r="E581" s="63"/>
      <c r="F581" s="63"/>
      <c r="G581" s="62"/>
      <c r="H581" s="64"/>
    </row>
    <row r="582" spans="2:8" ht="15" customHeight="1" x14ac:dyDescent="0.2">
      <c r="B582" s="54"/>
      <c r="C582" s="55"/>
      <c r="D582" s="55"/>
      <c r="E582" s="56"/>
      <c r="F582" s="56"/>
      <c r="G582" s="55"/>
      <c r="H582" s="57"/>
    </row>
    <row r="583" spans="2:8" ht="15" customHeight="1" x14ac:dyDescent="0.2">
      <c r="B583" s="61"/>
      <c r="C583" s="62"/>
      <c r="D583" s="62"/>
      <c r="E583" s="63"/>
      <c r="F583" s="63"/>
      <c r="G583" s="62"/>
      <c r="H583" s="64"/>
    </row>
    <row r="584" spans="2:8" ht="15" customHeight="1" x14ac:dyDescent="0.2">
      <c r="B584" s="54"/>
      <c r="C584" s="55"/>
      <c r="D584" s="55"/>
      <c r="E584" s="56"/>
      <c r="F584" s="56"/>
      <c r="G584" s="55"/>
      <c r="H584" s="57"/>
    </row>
    <row r="585" spans="2:8" ht="15" customHeight="1" x14ac:dyDescent="0.2">
      <c r="B585" s="61"/>
      <c r="C585" s="62"/>
      <c r="D585" s="62"/>
      <c r="E585" s="63"/>
      <c r="F585" s="63"/>
      <c r="G585" s="62"/>
      <c r="H585" s="64"/>
    </row>
    <row r="586" spans="2:8" ht="15" customHeight="1" x14ac:dyDescent="0.2">
      <c r="B586" s="54"/>
      <c r="C586" s="55"/>
      <c r="D586" s="55"/>
      <c r="E586" s="56"/>
      <c r="F586" s="56"/>
      <c r="G586" s="55"/>
      <c r="H586" s="57"/>
    </row>
    <row r="587" spans="2:8" ht="15" customHeight="1" x14ac:dyDescent="0.2">
      <c r="B587" s="61"/>
      <c r="C587" s="62"/>
      <c r="D587" s="62"/>
      <c r="E587" s="63"/>
      <c r="F587" s="63"/>
      <c r="G587" s="62"/>
      <c r="H587" s="64"/>
    </row>
    <row r="588" spans="2:8" ht="15" customHeight="1" x14ac:dyDescent="0.2">
      <c r="B588" s="54"/>
      <c r="C588" s="55"/>
      <c r="D588" s="55"/>
      <c r="E588" s="56"/>
      <c r="F588" s="56"/>
      <c r="G588" s="55"/>
      <c r="H588" s="57"/>
    </row>
    <row r="589" spans="2:8" ht="15" customHeight="1" x14ac:dyDescent="0.2">
      <c r="B589" s="61"/>
      <c r="C589" s="62"/>
      <c r="D589" s="62"/>
      <c r="E589" s="63"/>
      <c r="F589" s="63"/>
      <c r="G589" s="62"/>
      <c r="H589" s="64"/>
    </row>
    <row r="590" spans="2:8" ht="15" customHeight="1" x14ac:dyDescent="0.2">
      <c r="B590" s="54"/>
      <c r="C590" s="55"/>
      <c r="D590" s="55"/>
      <c r="E590" s="56"/>
      <c r="F590" s="56"/>
      <c r="G590" s="55"/>
      <c r="H590" s="57"/>
    </row>
    <row r="591" spans="2:8" ht="15" customHeight="1" x14ac:dyDescent="0.2">
      <c r="B591" s="61"/>
      <c r="C591" s="62"/>
      <c r="D591" s="62"/>
      <c r="E591" s="63"/>
      <c r="F591" s="63"/>
      <c r="G591" s="62"/>
      <c r="H591" s="64"/>
    </row>
    <row r="592" spans="2:8" ht="15" customHeight="1" x14ac:dyDescent="0.2">
      <c r="B592" s="54"/>
      <c r="C592" s="55"/>
      <c r="D592" s="55"/>
      <c r="E592" s="56"/>
      <c r="F592" s="56"/>
      <c r="G592" s="55"/>
      <c r="H592" s="57"/>
    </row>
    <row r="593" spans="2:8" ht="15" customHeight="1" x14ac:dyDescent="0.2">
      <c r="B593" s="61"/>
      <c r="C593" s="62"/>
      <c r="D593" s="62"/>
      <c r="E593" s="63"/>
      <c r="F593" s="63"/>
      <c r="G593" s="62"/>
      <c r="H593" s="64"/>
    </row>
    <row r="594" spans="2:8" ht="15" customHeight="1" x14ac:dyDescent="0.2">
      <c r="B594" s="54"/>
      <c r="C594" s="55"/>
      <c r="D594" s="55"/>
      <c r="E594" s="56"/>
      <c r="F594" s="56"/>
      <c r="G594" s="55"/>
      <c r="H594" s="57"/>
    </row>
    <row r="595" spans="2:8" ht="15" customHeight="1" x14ac:dyDescent="0.2">
      <c r="B595" s="61"/>
      <c r="C595" s="62"/>
      <c r="D595" s="62"/>
      <c r="E595" s="63"/>
      <c r="F595" s="63"/>
      <c r="G595" s="62"/>
      <c r="H595" s="64"/>
    </row>
    <row r="596" spans="2:8" ht="15" customHeight="1" x14ac:dyDescent="0.2">
      <c r="B596" s="54"/>
      <c r="C596" s="55"/>
      <c r="D596" s="55"/>
      <c r="E596" s="56"/>
      <c r="F596" s="56"/>
      <c r="G596" s="55"/>
      <c r="H596" s="57"/>
    </row>
    <row r="597" spans="2:8" ht="15" customHeight="1" x14ac:dyDescent="0.2">
      <c r="B597" s="61"/>
      <c r="C597" s="62"/>
      <c r="D597" s="62"/>
      <c r="E597" s="63"/>
      <c r="F597" s="63"/>
      <c r="G597" s="62"/>
      <c r="H597" s="64"/>
    </row>
    <row r="598" spans="2:8" ht="15" customHeight="1" x14ac:dyDescent="0.2">
      <c r="B598" s="54"/>
      <c r="C598" s="55"/>
      <c r="D598" s="55"/>
      <c r="E598" s="56"/>
      <c r="F598" s="56"/>
      <c r="G598" s="55"/>
      <c r="H598" s="57"/>
    </row>
    <row r="599" spans="2:8" ht="15" customHeight="1" x14ac:dyDescent="0.2">
      <c r="B599" s="61"/>
      <c r="C599" s="62"/>
      <c r="D599" s="62"/>
      <c r="E599" s="63"/>
      <c r="F599" s="63"/>
      <c r="G599" s="62"/>
      <c r="H599" s="64"/>
    </row>
    <row r="600" spans="2:8" ht="15" customHeight="1" x14ac:dyDescent="0.2">
      <c r="B600" s="54"/>
      <c r="C600" s="55"/>
      <c r="D600" s="55"/>
      <c r="E600" s="56"/>
      <c r="F600" s="56"/>
      <c r="G600" s="55"/>
      <c r="H600" s="57"/>
    </row>
    <row r="601" spans="2:8" ht="15" customHeight="1" x14ac:dyDescent="0.2">
      <c r="B601" s="61"/>
      <c r="C601" s="62"/>
      <c r="D601" s="62"/>
      <c r="E601" s="63"/>
      <c r="F601" s="63"/>
      <c r="G601" s="62"/>
      <c r="H601" s="64"/>
    </row>
    <row r="602" spans="2:8" ht="15" customHeight="1" x14ac:dyDescent="0.2">
      <c r="B602" s="54"/>
      <c r="C602" s="55"/>
      <c r="D602" s="55"/>
      <c r="E602" s="56"/>
      <c r="F602" s="56"/>
      <c r="G602" s="55"/>
      <c r="H602" s="57"/>
    </row>
    <row r="603" spans="2:8" ht="15" customHeight="1" x14ac:dyDescent="0.2">
      <c r="B603" s="61"/>
      <c r="C603" s="62"/>
      <c r="D603" s="62"/>
      <c r="E603" s="63"/>
      <c r="F603" s="63"/>
      <c r="G603" s="62"/>
      <c r="H603" s="64"/>
    </row>
    <row r="604" spans="2:8" ht="15" customHeight="1" x14ac:dyDescent="0.2">
      <c r="B604" s="54"/>
      <c r="C604" s="55"/>
      <c r="D604" s="55"/>
      <c r="E604" s="56"/>
      <c r="F604" s="56"/>
      <c r="G604" s="55"/>
      <c r="H604" s="57"/>
    </row>
    <row r="605" spans="2:8" ht="15" customHeight="1" x14ac:dyDescent="0.2">
      <c r="B605" s="61"/>
      <c r="C605" s="62"/>
      <c r="D605" s="62"/>
      <c r="E605" s="63"/>
      <c r="F605" s="63"/>
      <c r="G605" s="62"/>
      <c r="H605" s="64"/>
    </row>
    <row r="606" spans="2:8" ht="15" customHeight="1" x14ac:dyDescent="0.2">
      <c r="B606" s="54"/>
      <c r="C606" s="55"/>
      <c r="D606" s="55"/>
      <c r="E606" s="56"/>
      <c r="F606" s="56"/>
      <c r="G606" s="55"/>
      <c r="H606" s="57"/>
    </row>
    <row r="607" spans="2:8" ht="15" customHeight="1" x14ac:dyDescent="0.2">
      <c r="B607" s="61"/>
      <c r="C607" s="62"/>
      <c r="D607" s="62"/>
      <c r="E607" s="63"/>
      <c r="F607" s="63"/>
      <c r="G607" s="62"/>
      <c r="H607" s="64"/>
    </row>
    <row r="608" spans="2:8" ht="15" customHeight="1" x14ac:dyDescent="0.2">
      <c r="B608" s="54"/>
      <c r="C608" s="55"/>
      <c r="D608" s="55"/>
      <c r="E608" s="56"/>
      <c r="F608" s="56"/>
      <c r="G608" s="55"/>
      <c r="H608" s="57"/>
    </row>
    <row r="609" spans="2:8" ht="15" customHeight="1" x14ac:dyDescent="0.2">
      <c r="B609" s="61"/>
      <c r="C609" s="62"/>
      <c r="D609" s="62"/>
      <c r="E609" s="63"/>
      <c r="F609" s="63"/>
      <c r="G609" s="62"/>
      <c r="H609" s="64"/>
    </row>
    <row r="610" spans="2:8" ht="15" customHeight="1" x14ac:dyDescent="0.2">
      <c r="B610" s="54"/>
      <c r="C610" s="55"/>
      <c r="D610" s="55"/>
      <c r="E610" s="56"/>
      <c r="F610" s="56"/>
      <c r="G610" s="55"/>
      <c r="H610" s="57"/>
    </row>
    <row r="611" spans="2:8" ht="15" customHeight="1" x14ac:dyDescent="0.2">
      <c r="B611" s="61"/>
      <c r="C611" s="62"/>
      <c r="D611" s="62"/>
      <c r="E611" s="63"/>
      <c r="F611" s="63"/>
      <c r="G611" s="62"/>
      <c r="H611" s="64"/>
    </row>
    <row r="612" spans="2:8" ht="15" customHeight="1" x14ac:dyDescent="0.2">
      <c r="B612" s="54"/>
      <c r="C612" s="55"/>
      <c r="D612" s="55"/>
      <c r="E612" s="56"/>
      <c r="F612" s="56"/>
      <c r="G612" s="55"/>
      <c r="H612" s="57"/>
    </row>
    <row r="613" spans="2:8" ht="15" customHeight="1" x14ac:dyDescent="0.2">
      <c r="B613" s="61"/>
      <c r="C613" s="62"/>
      <c r="D613" s="62"/>
      <c r="E613" s="63"/>
      <c r="F613" s="63"/>
      <c r="G613" s="62"/>
      <c r="H613" s="64"/>
    </row>
    <row r="614" spans="2:8" ht="15" customHeight="1" x14ac:dyDescent="0.2">
      <c r="B614" s="54"/>
      <c r="C614" s="55"/>
      <c r="D614" s="55"/>
      <c r="E614" s="56"/>
      <c r="F614" s="56"/>
      <c r="G614" s="55"/>
      <c r="H614" s="57"/>
    </row>
    <row r="615" spans="2:8" ht="15" customHeight="1" x14ac:dyDescent="0.2">
      <c r="B615" s="61"/>
      <c r="C615" s="62"/>
      <c r="D615" s="62"/>
      <c r="E615" s="63"/>
      <c r="F615" s="63"/>
      <c r="G615" s="62"/>
      <c r="H615" s="64"/>
    </row>
    <row r="616" spans="2:8" ht="15" customHeight="1" x14ac:dyDescent="0.2">
      <c r="B616" s="54"/>
      <c r="C616" s="55"/>
      <c r="D616" s="55"/>
      <c r="E616" s="56"/>
      <c r="F616" s="56"/>
      <c r="G616" s="55"/>
      <c r="H616" s="57"/>
    </row>
    <row r="617" spans="2:8" ht="15" customHeight="1" x14ac:dyDescent="0.2">
      <c r="B617" s="61"/>
      <c r="C617" s="62"/>
      <c r="D617" s="62"/>
      <c r="E617" s="63"/>
      <c r="F617" s="63"/>
      <c r="G617" s="62"/>
      <c r="H617" s="64"/>
    </row>
    <row r="618" spans="2:8" ht="15" customHeight="1" x14ac:dyDescent="0.2">
      <c r="B618" s="54"/>
      <c r="C618" s="55"/>
      <c r="D618" s="55"/>
      <c r="E618" s="56"/>
      <c r="F618" s="56"/>
      <c r="G618" s="55"/>
      <c r="H618" s="57"/>
    </row>
    <row r="619" spans="2:8" ht="15" customHeight="1" x14ac:dyDescent="0.2">
      <c r="B619" s="61"/>
      <c r="C619" s="62"/>
      <c r="D619" s="62"/>
      <c r="E619" s="63"/>
      <c r="F619" s="63"/>
      <c r="G619" s="62"/>
      <c r="H619" s="64"/>
    </row>
    <row r="620" spans="2:8" ht="15" customHeight="1" x14ac:dyDescent="0.2">
      <c r="B620" s="54"/>
      <c r="C620" s="55"/>
      <c r="D620" s="55"/>
      <c r="E620" s="56"/>
      <c r="F620" s="56"/>
      <c r="G620" s="55"/>
      <c r="H620" s="57"/>
    </row>
    <row r="621" spans="2:8" ht="15" customHeight="1" x14ac:dyDescent="0.2">
      <c r="B621" s="61"/>
      <c r="C621" s="62"/>
      <c r="D621" s="62"/>
      <c r="E621" s="63"/>
      <c r="F621" s="63"/>
      <c r="G621" s="62"/>
      <c r="H621" s="64"/>
    </row>
    <row r="622" spans="2:8" ht="15" customHeight="1" x14ac:dyDescent="0.2">
      <c r="B622" s="54"/>
      <c r="C622" s="55"/>
      <c r="D622" s="55"/>
      <c r="E622" s="56"/>
      <c r="F622" s="56"/>
      <c r="G622" s="55"/>
      <c r="H622" s="57"/>
    </row>
    <row r="623" spans="2:8" ht="15" customHeight="1" x14ac:dyDescent="0.2">
      <c r="B623" s="61"/>
      <c r="C623" s="62"/>
      <c r="D623" s="62"/>
      <c r="E623" s="63"/>
      <c r="F623" s="63"/>
      <c r="G623" s="62"/>
      <c r="H623" s="64"/>
    </row>
    <row r="624" spans="2:8" ht="15" customHeight="1" x14ac:dyDescent="0.2">
      <c r="B624" s="54"/>
      <c r="C624" s="55"/>
      <c r="D624" s="55"/>
      <c r="E624" s="56"/>
      <c r="F624" s="56"/>
      <c r="G624" s="55"/>
      <c r="H624" s="57"/>
    </row>
    <row r="625" spans="2:8" ht="15" customHeight="1" x14ac:dyDescent="0.2">
      <c r="B625" s="61"/>
      <c r="C625" s="62"/>
      <c r="D625" s="62"/>
      <c r="E625" s="63"/>
      <c r="F625" s="63"/>
      <c r="G625" s="62"/>
      <c r="H625" s="64"/>
    </row>
    <row r="626" spans="2:8" ht="15" customHeight="1" x14ac:dyDescent="0.2">
      <c r="B626" s="54"/>
      <c r="C626" s="55"/>
      <c r="D626" s="55"/>
      <c r="E626" s="56"/>
      <c r="F626" s="56"/>
      <c r="G626" s="55"/>
      <c r="H626" s="57"/>
    </row>
    <row r="627" spans="2:8" ht="15" customHeight="1" x14ac:dyDescent="0.2">
      <c r="B627" s="61"/>
      <c r="C627" s="62"/>
      <c r="D627" s="62"/>
      <c r="E627" s="63"/>
      <c r="F627" s="63"/>
      <c r="G627" s="62"/>
      <c r="H627" s="64"/>
    </row>
    <row r="628" spans="2:8" ht="15" customHeight="1" x14ac:dyDescent="0.2">
      <c r="B628" s="54"/>
      <c r="C628" s="55"/>
      <c r="D628" s="55"/>
      <c r="E628" s="56"/>
      <c r="F628" s="56"/>
      <c r="G628" s="55"/>
      <c r="H628" s="57"/>
    </row>
    <row r="629" spans="2:8" ht="15" customHeight="1" x14ac:dyDescent="0.2">
      <c r="B629" s="61"/>
      <c r="C629" s="62"/>
      <c r="D629" s="62"/>
      <c r="E629" s="63"/>
      <c r="F629" s="63"/>
      <c r="G629" s="62"/>
      <c r="H629" s="64"/>
    </row>
    <row r="630" spans="2:8" ht="15" customHeight="1" x14ac:dyDescent="0.2">
      <c r="B630" s="54"/>
      <c r="C630" s="55"/>
      <c r="D630" s="55"/>
      <c r="E630" s="56"/>
      <c r="F630" s="56"/>
      <c r="G630" s="55"/>
      <c r="H630" s="57"/>
    </row>
    <row r="631" spans="2:8" ht="15" customHeight="1" x14ac:dyDescent="0.2">
      <c r="B631" s="61"/>
      <c r="C631" s="62"/>
      <c r="D631" s="62"/>
      <c r="E631" s="63"/>
      <c r="F631" s="63"/>
      <c r="G631" s="62"/>
      <c r="H631" s="64"/>
    </row>
    <row r="632" spans="2:8" ht="15" customHeight="1" x14ac:dyDescent="0.2">
      <c r="B632" s="54"/>
      <c r="C632" s="55"/>
      <c r="D632" s="55"/>
      <c r="E632" s="56"/>
      <c r="F632" s="56"/>
      <c r="G632" s="55"/>
      <c r="H632" s="57"/>
    </row>
    <row r="633" spans="2:8" ht="15" customHeight="1" x14ac:dyDescent="0.2">
      <c r="B633" s="61"/>
      <c r="C633" s="62"/>
      <c r="D633" s="62"/>
      <c r="E633" s="63"/>
      <c r="F633" s="63"/>
      <c r="G633" s="62"/>
      <c r="H633" s="64"/>
    </row>
    <row r="634" spans="2:8" ht="15" customHeight="1" x14ac:dyDescent="0.2">
      <c r="B634" s="54"/>
      <c r="C634" s="55"/>
      <c r="D634" s="55"/>
      <c r="E634" s="56"/>
      <c r="F634" s="56"/>
      <c r="G634" s="55"/>
      <c r="H634" s="57"/>
    </row>
    <row r="635" spans="2:8" ht="15" customHeight="1" x14ac:dyDescent="0.2">
      <c r="B635" s="61"/>
      <c r="C635" s="62"/>
      <c r="D635" s="62"/>
      <c r="E635" s="63"/>
      <c r="F635" s="63"/>
      <c r="G635" s="62"/>
      <c r="H635" s="64"/>
    </row>
    <row r="636" spans="2:8" ht="15" customHeight="1" x14ac:dyDescent="0.2">
      <c r="B636" s="54"/>
      <c r="C636" s="55"/>
      <c r="D636" s="55"/>
      <c r="E636" s="56"/>
      <c r="F636" s="56"/>
      <c r="G636" s="55"/>
      <c r="H636" s="57"/>
    </row>
    <row r="637" spans="2:8" ht="15" customHeight="1" x14ac:dyDescent="0.2">
      <c r="B637" s="61"/>
      <c r="C637" s="62"/>
      <c r="D637" s="62"/>
      <c r="E637" s="63"/>
      <c r="F637" s="63"/>
      <c r="G637" s="62"/>
      <c r="H637" s="64"/>
    </row>
    <row r="638" spans="2:8" ht="15" customHeight="1" x14ac:dyDescent="0.2">
      <c r="B638" s="54"/>
      <c r="C638" s="55"/>
      <c r="D638" s="55"/>
      <c r="E638" s="56"/>
      <c r="F638" s="56"/>
      <c r="G638" s="55"/>
      <c r="H638" s="57"/>
    </row>
    <row r="639" spans="2:8" ht="15" customHeight="1" x14ac:dyDescent="0.2">
      <c r="B639" s="61"/>
      <c r="C639" s="62"/>
      <c r="D639" s="62"/>
      <c r="E639" s="63"/>
      <c r="F639" s="63"/>
      <c r="G639" s="62"/>
      <c r="H639" s="64"/>
    </row>
    <row r="640" spans="2:8" ht="15" customHeight="1" x14ac:dyDescent="0.2">
      <c r="B640" s="54"/>
      <c r="C640" s="55"/>
      <c r="D640" s="55"/>
      <c r="E640" s="56"/>
      <c r="F640" s="56"/>
      <c r="G640" s="55"/>
      <c r="H640" s="57"/>
    </row>
    <row r="641" spans="2:8" ht="15" customHeight="1" x14ac:dyDescent="0.2">
      <c r="B641" s="61"/>
      <c r="C641" s="62"/>
      <c r="D641" s="62"/>
      <c r="E641" s="63"/>
      <c r="F641" s="63"/>
      <c r="G641" s="62"/>
      <c r="H641" s="64"/>
    </row>
    <row r="642" spans="2:8" ht="15" customHeight="1" x14ac:dyDescent="0.2">
      <c r="B642" s="54"/>
      <c r="C642" s="55"/>
      <c r="D642" s="55"/>
      <c r="E642" s="56"/>
      <c r="F642" s="56"/>
      <c r="G642" s="55"/>
      <c r="H642" s="57"/>
    </row>
    <row r="643" spans="2:8" ht="15" customHeight="1" x14ac:dyDescent="0.2">
      <c r="B643" s="61"/>
      <c r="C643" s="62"/>
      <c r="D643" s="62"/>
      <c r="E643" s="63"/>
      <c r="F643" s="63"/>
      <c r="G643" s="62"/>
      <c r="H643" s="64"/>
    </row>
    <row r="644" spans="2:8" ht="15" customHeight="1" x14ac:dyDescent="0.2">
      <c r="B644" s="54"/>
      <c r="C644" s="55"/>
      <c r="D644" s="55"/>
      <c r="E644" s="56"/>
      <c r="F644" s="56"/>
      <c r="G644" s="55"/>
      <c r="H644" s="57"/>
    </row>
    <row r="645" spans="2:8" ht="15" customHeight="1" x14ac:dyDescent="0.2">
      <c r="B645" s="61"/>
      <c r="C645" s="62"/>
      <c r="D645" s="62"/>
      <c r="E645" s="63"/>
      <c r="F645" s="63"/>
      <c r="G645" s="62"/>
      <c r="H645" s="64"/>
    </row>
    <row r="646" spans="2:8" ht="15" customHeight="1" x14ac:dyDescent="0.2">
      <c r="B646" s="54"/>
      <c r="C646" s="55"/>
      <c r="D646" s="55"/>
      <c r="E646" s="56"/>
      <c r="F646" s="56"/>
      <c r="G646" s="55"/>
      <c r="H646" s="57"/>
    </row>
    <row r="647" spans="2:8" ht="15" customHeight="1" x14ac:dyDescent="0.2">
      <c r="B647" s="61"/>
      <c r="C647" s="62"/>
      <c r="D647" s="62"/>
      <c r="E647" s="63"/>
      <c r="F647" s="63"/>
      <c r="G647" s="62"/>
      <c r="H647" s="64"/>
    </row>
    <row r="648" spans="2:8" ht="15" customHeight="1" x14ac:dyDescent="0.2">
      <c r="B648" s="54"/>
      <c r="C648" s="55"/>
      <c r="D648" s="55"/>
      <c r="E648" s="56"/>
      <c r="F648" s="56"/>
      <c r="G648" s="55"/>
      <c r="H648" s="57"/>
    </row>
    <row r="649" spans="2:8" ht="15" customHeight="1" x14ac:dyDescent="0.2">
      <c r="B649" s="61"/>
      <c r="C649" s="62"/>
      <c r="D649" s="62"/>
      <c r="E649" s="63"/>
      <c r="F649" s="63"/>
      <c r="G649" s="62"/>
      <c r="H649" s="64"/>
    </row>
    <row r="650" spans="2:8" ht="15" customHeight="1" x14ac:dyDescent="0.2">
      <c r="B650" s="54"/>
      <c r="C650" s="55"/>
      <c r="D650" s="55"/>
      <c r="E650" s="56"/>
      <c r="F650" s="56"/>
      <c r="G650" s="55"/>
      <c r="H650" s="57"/>
    </row>
    <row r="651" spans="2:8" ht="15" customHeight="1" x14ac:dyDescent="0.2">
      <c r="B651" s="61"/>
      <c r="C651" s="62"/>
      <c r="D651" s="62"/>
      <c r="E651" s="63"/>
      <c r="F651" s="63"/>
      <c r="G651" s="62"/>
      <c r="H651" s="64"/>
    </row>
    <row r="652" spans="2:8" ht="15" customHeight="1" x14ac:dyDescent="0.2">
      <c r="B652" s="54"/>
      <c r="C652" s="55"/>
      <c r="D652" s="55"/>
      <c r="E652" s="56"/>
      <c r="F652" s="56"/>
      <c r="G652" s="55"/>
      <c r="H652" s="57"/>
    </row>
    <row r="653" spans="2:8" ht="15" customHeight="1" x14ac:dyDescent="0.2">
      <c r="B653" s="61"/>
      <c r="C653" s="62"/>
      <c r="D653" s="62"/>
      <c r="E653" s="63"/>
      <c r="F653" s="63"/>
      <c r="G653" s="62"/>
      <c r="H653" s="64"/>
    </row>
    <row r="654" spans="2:8" ht="15" customHeight="1" x14ac:dyDescent="0.2">
      <c r="B654" s="54"/>
      <c r="C654" s="55"/>
      <c r="D654" s="55"/>
      <c r="E654" s="56"/>
      <c r="F654" s="56"/>
      <c r="G654" s="55"/>
      <c r="H654" s="57"/>
    </row>
    <row r="655" spans="2:8" ht="15" customHeight="1" x14ac:dyDescent="0.2">
      <c r="B655" s="61"/>
      <c r="C655" s="62"/>
      <c r="D655" s="62"/>
      <c r="E655" s="63"/>
      <c r="F655" s="63"/>
      <c r="G655" s="62"/>
      <c r="H655" s="64"/>
    </row>
    <row r="656" spans="2:8" ht="15" customHeight="1" x14ac:dyDescent="0.2">
      <c r="B656" s="54"/>
      <c r="C656" s="55"/>
      <c r="D656" s="55"/>
      <c r="E656" s="56"/>
      <c r="F656" s="56"/>
      <c r="G656" s="55"/>
      <c r="H656" s="57"/>
    </row>
    <row r="657" spans="2:8" ht="15" customHeight="1" x14ac:dyDescent="0.2">
      <c r="B657" s="61"/>
      <c r="C657" s="62"/>
      <c r="D657" s="62"/>
      <c r="E657" s="63"/>
      <c r="F657" s="63"/>
      <c r="G657" s="62"/>
      <c r="H657" s="64"/>
    </row>
    <row r="658" spans="2:8" ht="15" customHeight="1" x14ac:dyDescent="0.2">
      <c r="B658" s="54"/>
      <c r="C658" s="55"/>
      <c r="D658" s="55"/>
      <c r="E658" s="56"/>
      <c r="F658" s="56"/>
      <c r="G658" s="55"/>
      <c r="H658" s="57"/>
    </row>
    <row r="659" spans="2:8" ht="15" customHeight="1" x14ac:dyDescent="0.2">
      <c r="B659" s="61"/>
      <c r="C659" s="62"/>
      <c r="D659" s="62"/>
      <c r="E659" s="63"/>
      <c r="F659" s="63"/>
      <c r="G659" s="62"/>
      <c r="H659" s="64"/>
    </row>
    <row r="660" spans="2:8" ht="15" customHeight="1" x14ac:dyDescent="0.2">
      <c r="B660" s="54"/>
      <c r="C660" s="55"/>
      <c r="D660" s="55"/>
      <c r="E660" s="56"/>
      <c r="F660" s="56"/>
      <c r="G660" s="55"/>
      <c r="H660" s="57"/>
    </row>
    <row r="661" spans="2:8" ht="15" customHeight="1" x14ac:dyDescent="0.2">
      <c r="B661" s="61"/>
      <c r="C661" s="62"/>
      <c r="D661" s="62"/>
      <c r="E661" s="63"/>
      <c r="F661" s="63"/>
      <c r="G661" s="62"/>
      <c r="H661" s="64"/>
    </row>
    <row r="662" spans="2:8" ht="15" customHeight="1" x14ac:dyDescent="0.2">
      <c r="B662" s="54"/>
      <c r="C662" s="55"/>
      <c r="D662" s="55"/>
      <c r="E662" s="56"/>
      <c r="F662" s="56"/>
      <c r="G662" s="55"/>
      <c r="H662" s="57"/>
    </row>
    <row r="663" spans="2:8" ht="15" customHeight="1" x14ac:dyDescent="0.2">
      <c r="B663" s="61"/>
      <c r="C663" s="62"/>
      <c r="D663" s="62"/>
      <c r="E663" s="63"/>
      <c r="F663" s="63"/>
      <c r="G663" s="62"/>
      <c r="H663" s="64"/>
    </row>
    <row r="664" spans="2:8" ht="15" customHeight="1" x14ac:dyDescent="0.2">
      <c r="B664" s="54"/>
      <c r="C664" s="55"/>
      <c r="D664" s="55"/>
      <c r="E664" s="56"/>
      <c r="F664" s="56"/>
      <c r="G664" s="55"/>
      <c r="H664" s="57"/>
    </row>
    <row r="665" spans="2:8" ht="15" customHeight="1" x14ac:dyDescent="0.2">
      <c r="B665" s="61"/>
      <c r="C665" s="62"/>
      <c r="D665" s="62"/>
      <c r="E665" s="63"/>
      <c r="F665" s="63"/>
      <c r="G665" s="62"/>
      <c r="H665" s="64"/>
    </row>
    <row r="666" spans="2:8" ht="15" customHeight="1" x14ac:dyDescent="0.2">
      <c r="B666" s="54"/>
      <c r="C666" s="55"/>
      <c r="D666" s="55"/>
      <c r="E666" s="56"/>
      <c r="F666" s="56"/>
      <c r="G666" s="55"/>
      <c r="H666" s="57"/>
    </row>
    <row r="667" spans="2:8" ht="15" customHeight="1" x14ac:dyDescent="0.2">
      <c r="B667" s="61"/>
      <c r="C667" s="62"/>
      <c r="D667" s="62"/>
      <c r="E667" s="63"/>
      <c r="F667" s="63"/>
      <c r="G667" s="62"/>
      <c r="H667" s="64"/>
    </row>
    <row r="668" spans="2:8" ht="15" customHeight="1" x14ac:dyDescent="0.2">
      <c r="B668" s="54"/>
      <c r="C668" s="55"/>
      <c r="D668" s="55"/>
      <c r="E668" s="56"/>
      <c r="F668" s="56"/>
      <c r="G668" s="55"/>
      <c r="H668" s="57"/>
    </row>
    <row r="669" spans="2:8" ht="15" customHeight="1" x14ac:dyDescent="0.2">
      <c r="B669" s="61"/>
      <c r="C669" s="62"/>
      <c r="D669" s="62"/>
      <c r="E669" s="63"/>
      <c r="F669" s="63"/>
      <c r="G669" s="62"/>
      <c r="H669" s="64"/>
    </row>
    <row r="670" spans="2:8" ht="15" customHeight="1" x14ac:dyDescent="0.2">
      <c r="B670" s="54"/>
      <c r="C670" s="55"/>
      <c r="D670" s="55"/>
      <c r="E670" s="56"/>
      <c r="F670" s="56"/>
      <c r="G670" s="55"/>
      <c r="H670" s="57"/>
    </row>
    <row r="671" spans="2:8" ht="15" customHeight="1" x14ac:dyDescent="0.2">
      <c r="B671" s="61"/>
      <c r="C671" s="62"/>
      <c r="D671" s="62"/>
      <c r="E671" s="63"/>
      <c r="F671" s="63"/>
      <c r="G671" s="62"/>
      <c r="H671" s="64"/>
    </row>
    <row r="672" spans="2:8" ht="15" customHeight="1" x14ac:dyDescent="0.2">
      <c r="B672" s="54"/>
      <c r="C672" s="55"/>
      <c r="D672" s="55"/>
      <c r="E672" s="56"/>
      <c r="F672" s="56"/>
      <c r="G672" s="55"/>
      <c r="H672" s="57"/>
    </row>
    <row r="673" spans="2:8" ht="15" customHeight="1" x14ac:dyDescent="0.2">
      <c r="B673" s="61"/>
      <c r="C673" s="62"/>
      <c r="D673" s="62"/>
      <c r="E673" s="63"/>
      <c r="F673" s="63"/>
      <c r="G673" s="62"/>
      <c r="H673" s="64"/>
    </row>
    <row r="674" spans="2:8" ht="15" customHeight="1" x14ac:dyDescent="0.2">
      <c r="B674" s="54"/>
      <c r="C674" s="55"/>
      <c r="D674" s="55"/>
      <c r="E674" s="56"/>
      <c r="F674" s="56"/>
      <c r="G674" s="55"/>
      <c r="H674" s="57"/>
    </row>
    <row r="675" spans="2:8" ht="15" customHeight="1" x14ac:dyDescent="0.2">
      <c r="B675" s="61"/>
      <c r="C675" s="62"/>
      <c r="D675" s="62"/>
      <c r="E675" s="63"/>
      <c r="F675" s="63"/>
      <c r="G675" s="62"/>
      <c r="H675" s="64"/>
    </row>
    <row r="676" spans="2:8" ht="15" customHeight="1" x14ac:dyDescent="0.2">
      <c r="B676" s="54"/>
      <c r="C676" s="55"/>
      <c r="D676" s="55"/>
      <c r="E676" s="56"/>
      <c r="F676" s="56"/>
      <c r="G676" s="55"/>
      <c r="H676" s="57"/>
    </row>
    <row r="677" spans="2:8" ht="15" customHeight="1" x14ac:dyDescent="0.2">
      <c r="B677" s="61"/>
      <c r="C677" s="62"/>
      <c r="D677" s="62"/>
      <c r="E677" s="63"/>
      <c r="F677" s="63"/>
      <c r="G677" s="62"/>
      <c r="H677" s="64"/>
    </row>
    <row r="678" spans="2:8" ht="15" customHeight="1" x14ac:dyDescent="0.2">
      <c r="B678" s="54"/>
      <c r="C678" s="55"/>
      <c r="D678" s="55"/>
      <c r="E678" s="56"/>
      <c r="F678" s="56"/>
      <c r="G678" s="55"/>
      <c r="H678" s="57"/>
    </row>
    <row r="679" spans="2:8" ht="15" customHeight="1" x14ac:dyDescent="0.2">
      <c r="B679" s="61"/>
      <c r="C679" s="62"/>
      <c r="D679" s="62"/>
      <c r="E679" s="63"/>
      <c r="F679" s="63"/>
      <c r="G679" s="62"/>
      <c r="H679" s="64"/>
    </row>
    <row r="680" spans="2:8" ht="15" customHeight="1" x14ac:dyDescent="0.2">
      <c r="B680" s="54"/>
      <c r="C680" s="55"/>
      <c r="D680" s="55"/>
      <c r="E680" s="56"/>
      <c r="F680" s="56"/>
      <c r="G680" s="55"/>
      <c r="H680" s="57"/>
    </row>
    <row r="681" spans="2:8" ht="15" customHeight="1" x14ac:dyDescent="0.2">
      <c r="B681" s="61"/>
      <c r="C681" s="62"/>
      <c r="D681" s="62"/>
      <c r="E681" s="63"/>
      <c r="F681" s="63"/>
      <c r="G681" s="62"/>
      <c r="H681" s="64"/>
    </row>
    <row r="682" spans="2:8" ht="15" customHeight="1" x14ac:dyDescent="0.2">
      <c r="B682" s="54"/>
      <c r="C682" s="55"/>
      <c r="D682" s="55"/>
      <c r="E682" s="56"/>
      <c r="F682" s="56"/>
      <c r="G682" s="55"/>
      <c r="H682" s="57"/>
    </row>
    <row r="683" spans="2:8" ht="15" customHeight="1" x14ac:dyDescent="0.2">
      <c r="B683" s="61"/>
      <c r="C683" s="62"/>
      <c r="D683" s="62"/>
      <c r="E683" s="63"/>
      <c r="F683" s="63"/>
      <c r="G683" s="62"/>
      <c r="H683" s="64"/>
    </row>
    <row r="684" spans="2:8" ht="15" customHeight="1" x14ac:dyDescent="0.2">
      <c r="B684" s="54"/>
      <c r="C684" s="55"/>
      <c r="D684" s="55"/>
      <c r="E684" s="56"/>
      <c r="F684" s="56"/>
      <c r="G684" s="55"/>
      <c r="H684" s="57"/>
    </row>
    <row r="685" spans="2:8" ht="15" customHeight="1" x14ac:dyDescent="0.2">
      <c r="B685" s="61"/>
      <c r="C685" s="62"/>
      <c r="D685" s="62"/>
      <c r="E685" s="63"/>
      <c r="F685" s="63"/>
      <c r="G685" s="62"/>
      <c r="H685" s="64"/>
    </row>
    <row r="686" spans="2:8" ht="15" customHeight="1" x14ac:dyDescent="0.2">
      <c r="B686" s="54"/>
      <c r="C686" s="55"/>
      <c r="D686" s="55"/>
      <c r="E686" s="56"/>
      <c r="F686" s="56"/>
      <c r="G686" s="55"/>
      <c r="H686" s="57"/>
    </row>
    <row r="687" spans="2:8" ht="15" customHeight="1" x14ac:dyDescent="0.2">
      <c r="B687" s="61"/>
      <c r="C687" s="62"/>
      <c r="D687" s="62"/>
      <c r="E687" s="63"/>
      <c r="F687" s="63"/>
      <c r="G687" s="62"/>
      <c r="H687" s="64"/>
    </row>
    <row r="688" spans="2:8" ht="15" customHeight="1" x14ac:dyDescent="0.2">
      <c r="B688" s="54"/>
      <c r="C688" s="55"/>
      <c r="D688" s="55"/>
      <c r="E688" s="56"/>
      <c r="F688" s="56"/>
      <c r="G688" s="55"/>
      <c r="H688" s="57"/>
    </row>
    <row r="689" spans="2:8" ht="15" customHeight="1" x14ac:dyDescent="0.2">
      <c r="B689" s="61"/>
      <c r="C689" s="62"/>
      <c r="D689" s="62"/>
      <c r="E689" s="63"/>
      <c r="F689" s="63"/>
      <c r="G689" s="62"/>
      <c r="H689" s="64"/>
    </row>
    <row r="690" spans="2:8" ht="15" customHeight="1" x14ac:dyDescent="0.2">
      <c r="B690" s="54"/>
      <c r="C690" s="55"/>
      <c r="D690" s="55"/>
      <c r="E690" s="56"/>
      <c r="F690" s="56"/>
      <c r="G690" s="55"/>
      <c r="H690" s="57"/>
    </row>
    <row r="691" spans="2:8" ht="15" customHeight="1" x14ac:dyDescent="0.2">
      <c r="B691" s="61"/>
      <c r="C691" s="62"/>
      <c r="D691" s="62"/>
      <c r="E691" s="63"/>
      <c r="F691" s="63"/>
      <c r="G691" s="62"/>
      <c r="H691" s="64"/>
    </row>
    <row r="692" spans="2:8" ht="15" customHeight="1" x14ac:dyDescent="0.2">
      <c r="B692" s="54"/>
      <c r="C692" s="55"/>
      <c r="D692" s="55"/>
      <c r="E692" s="56"/>
      <c r="F692" s="56"/>
      <c r="G692" s="55"/>
      <c r="H692" s="57"/>
    </row>
    <row r="693" spans="2:8" ht="15" customHeight="1" x14ac:dyDescent="0.2">
      <c r="B693" s="61"/>
      <c r="C693" s="62"/>
      <c r="D693" s="62"/>
      <c r="E693" s="63"/>
      <c r="F693" s="63"/>
      <c r="G693" s="62"/>
      <c r="H693" s="64"/>
    </row>
    <row r="694" spans="2:8" ht="15" customHeight="1" x14ac:dyDescent="0.2">
      <c r="B694" s="54"/>
      <c r="C694" s="55"/>
      <c r="D694" s="55"/>
      <c r="E694" s="56"/>
      <c r="F694" s="56"/>
      <c r="G694" s="55"/>
      <c r="H694" s="57"/>
    </row>
    <row r="695" spans="2:8" ht="15" customHeight="1" x14ac:dyDescent="0.2">
      <c r="B695" s="61"/>
      <c r="C695" s="62"/>
      <c r="D695" s="62"/>
      <c r="E695" s="63"/>
      <c r="F695" s="63"/>
      <c r="G695" s="62"/>
      <c r="H695" s="64"/>
    </row>
    <row r="696" spans="2:8" ht="15" customHeight="1" x14ac:dyDescent="0.2">
      <c r="B696" s="54"/>
      <c r="C696" s="55"/>
      <c r="D696" s="55"/>
      <c r="E696" s="56"/>
      <c r="F696" s="56"/>
      <c r="G696" s="55"/>
      <c r="H696" s="57"/>
    </row>
    <row r="697" spans="2:8" ht="15" customHeight="1" x14ac:dyDescent="0.2">
      <c r="B697" s="61"/>
      <c r="C697" s="62"/>
      <c r="D697" s="62"/>
      <c r="E697" s="63"/>
      <c r="F697" s="63"/>
      <c r="G697" s="62"/>
      <c r="H697" s="64"/>
    </row>
    <row r="698" spans="2:8" ht="15" customHeight="1" x14ac:dyDescent="0.2">
      <c r="B698" s="54"/>
      <c r="C698" s="55"/>
      <c r="D698" s="55"/>
      <c r="E698" s="56"/>
      <c r="F698" s="56"/>
      <c r="G698" s="55"/>
      <c r="H698" s="57"/>
    </row>
    <row r="699" spans="2:8" ht="15" customHeight="1" x14ac:dyDescent="0.2">
      <c r="B699" s="61"/>
      <c r="C699" s="62"/>
      <c r="D699" s="62"/>
      <c r="E699" s="63"/>
      <c r="F699" s="63"/>
      <c r="G699" s="62"/>
      <c r="H699" s="64"/>
    </row>
    <row r="700" spans="2:8" ht="15" customHeight="1" x14ac:dyDescent="0.2">
      <c r="B700" s="54"/>
      <c r="C700" s="55"/>
      <c r="D700" s="55"/>
      <c r="E700" s="56"/>
      <c r="F700" s="56"/>
      <c r="G700" s="55"/>
      <c r="H700" s="57"/>
    </row>
    <row r="701" spans="2:8" ht="15" customHeight="1" x14ac:dyDescent="0.2">
      <c r="B701" s="61"/>
      <c r="C701" s="62"/>
      <c r="D701" s="62"/>
      <c r="E701" s="63"/>
      <c r="F701" s="63"/>
      <c r="G701" s="62"/>
      <c r="H701" s="64"/>
    </row>
    <row r="702" spans="2:8" ht="15" customHeight="1" x14ac:dyDescent="0.2">
      <c r="B702" s="54"/>
      <c r="C702" s="55"/>
      <c r="D702" s="55"/>
      <c r="E702" s="56"/>
      <c r="F702" s="56"/>
      <c r="G702" s="55"/>
      <c r="H702" s="57"/>
    </row>
    <row r="703" spans="2:8" ht="15" customHeight="1" x14ac:dyDescent="0.2">
      <c r="B703" s="61"/>
      <c r="C703" s="62"/>
      <c r="D703" s="62"/>
      <c r="E703" s="63"/>
      <c r="F703" s="63"/>
      <c r="G703" s="62"/>
      <c r="H703" s="64"/>
    </row>
    <row r="704" spans="2:8" ht="15" customHeight="1" x14ac:dyDescent="0.2">
      <c r="B704" s="54"/>
      <c r="C704" s="55"/>
      <c r="D704" s="55"/>
      <c r="E704" s="56"/>
      <c r="F704" s="56"/>
      <c r="G704" s="55"/>
      <c r="H704" s="57"/>
    </row>
    <row r="705" spans="2:8" ht="15" customHeight="1" x14ac:dyDescent="0.2">
      <c r="B705" s="61"/>
      <c r="C705" s="62"/>
      <c r="D705" s="62"/>
      <c r="E705" s="63"/>
      <c r="F705" s="63"/>
      <c r="G705" s="62"/>
      <c r="H705" s="64"/>
    </row>
    <row r="706" spans="2:8" ht="15" customHeight="1" x14ac:dyDescent="0.2">
      <c r="B706" s="54"/>
      <c r="C706" s="55"/>
      <c r="D706" s="55"/>
      <c r="E706" s="56"/>
      <c r="F706" s="56"/>
      <c r="G706" s="55"/>
      <c r="H706" s="57"/>
    </row>
    <row r="707" spans="2:8" ht="15" customHeight="1" x14ac:dyDescent="0.2">
      <c r="B707" s="61"/>
      <c r="C707" s="62"/>
      <c r="D707" s="62"/>
      <c r="E707" s="63"/>
      <c r="F707" s="63"/>
      <c r="G707" s="62"/>
      <c r="H707" s="64"/>
    </row>
    <row r="708" spans="2:8" ht="15" customHeight="1" x14ac:dyDescent="0.2">
      <c r="B708" s="54"/>
      <c r="C708" s="55"/>
      <c r="D708" s="55"/>
      <c r="E708" s="56"/>
      <c r="F708" s="56"/>
      <c r="G708" s="55"/>
      <c r="H708" s="57"/>
    </row>
    <row r="709" spans="2:8" ht="15" customHeight="1" x14ac:dyDescent="0.2">
      <c r="B709" s="61"/>
      <c r="C709" s="62"/>
      <c r="D709" s="62"/>
      <c r="E709" s="63"/>
      <c r="F709" s="63"/>
      <c r="G709" s="62"/>
      <c r="H709" s="64"/>
    </row>
    <row r="710" spans="2:8" ht="15" customHeight="1" x14ac:dyDescent="0.2">
      <c r="B710" s="54"/>
      <c r="C710" s="55"/>
      <c r="D710" s="55"/>
      <c r="E710" s="56"/>
      <c r="F710" s="56"/>
      <c r="G710" s="55"/>
      <c r="H710" s="57"/>
    </row>
    <row r="711" spans="2:8" ht="15" customHeight="1" x14ac:dyDescent="0.2">
      <c r="B711" s="61"/>
      <c r="C711" s="62"/>
      <c r="D711" s="62"/>
      <c r="E711" s="63"/>
      <c r="F711" s="63"/>
      <c r="G711" s="62"/>
      <c r="H711" s="64"/>
    </row>
    <row r="712" spans="2:8" ht="15" customHeight="1" x14ac:dyDescent="0.2">
      <c r="B712" s="54"/>
      <c r="C712" s="55"/>
      <c r="D712" s="55"/>
      <c r="E712" s="56"/>
      <c r="F712" s="56"/>
      <c r="G712" s="55"/>
      <c r="H712" s="57"/>
    </row>
    <row r="713" spans="2:8" ht="15" customHeight="1" x14ac:dyDescent="0.2">
      <c r="B713" s="61"/>
      <c r="C713" s="62"/>
      <c r="D713" s="62"/>
      <c r="E713" s="63"/>
      <c r="F713" s="63"/>
      <c r="G713" s="62"/>
      <c r="H713" s="64"/>
    </row>
    <row r="714" spans="2:8" ht="15" customHeight="1" x14ac:dyDescent="0.2">
      <c r="B714" s="54"/>
      <c r="C714" s="55"/>
      <c r="D714" s="55"/>
      <c r="E714" s="56"/>
      <c r="F714" s="56"/>
      <c r="G714" s="55"/>
      <c r="H714" s="57"/>
    </row>
    <row r="715" spans="2:8" ht="15" customHeight="1" x14ac:dyDescent="0.2">
      <c r="B715" s="61"/>
      <c r="C715" s="62"/>
      <c r="D715" s="62"/>
      <c r="E715" s="63"/>
      <c r="F715" s="63"/>
      <c r="G715" s="62"/>
      <c r="H715" s="64"/>
    </row>
    <row r="716" spans="2:8" ht="15" customHeight="1" x14ac:dyDescent="0.2">
      <c r="B716" s="54"/>
      <c r="C716" s="55"/>
      <c r="D716" s="55"/>
      <c r="E716" s="56"/>
      <c r="F716" s="56"/>
      <c r="G716" s="55"/>
      <c r="H716" s="57"/>
    </row>
    <row r="717" spans="2:8" ht="15" customHeight="1" x14ac:dyDescent="0.2">
      <c r="B717" s="61"/>
      <c r="C717" s="62"/>
      <c r="D717" s="62"/>
      <c r="E717" s="63"/>
      <c r="F717" s="63"/>
      <c r="G717" s="62"/>
      <c r="H717" s="64"/>
    </row>
    <row r="718" spans="2:8" ht="15" customHeight="1" x14ac:dyDescent="0.2">
      <c r="B718" s="54"/>
      <c r="C718" s="55"/>
      <c r="D718" s="55"/>
      <c r="E718" s="56"/>
      <c r="F718" s="56"/>
      <c r="G718" s="55"/>
      <c r="H718" s="57"/>
    </row>
    <row r="719" spans="2:8" ht="15" customHeight="1" x14ac:dyDescent="0.2">
      <c r="B719" s="61"/>
      <c r="C719" s="62"/>
      <c r="D719" s="62"/>
      <c r="E719" s="63"/>
      <c r="F719" s="63"/>
      <c r="G719" s="62"/>
      <c r="H719" s="64"/>
    </row>
    <row r="720" spans="2:8" ht="15" customHeight="1" x14ac:dyDescent="0.2">
      <c r="B720" s="54"/>
      <c r="C720" s="55"/>
      <c r="D720" s="55"/>
      <c r="E720" s="56"/>
      <c r="F720" s="56"/>
      <c r="G720" s="55"/>
      <c r="H720" s="57"/>
    </row>
    <row r="721" spans="2:8" ht="15" customHeight="1" x14ac:dyDescent="0.2">
      <c r="B721" s="61"/>
      <c r="C721" s="62"/>
      <c r="D721" s="62"/>
      <c r="E721" s="63"/>
      <c r="F721" s="63"/>
      <c r="G721" s="62"/>
      <c r="H721" s="64"/>
    </row>
    <row r="722" spans="2:8" ht="15" customHeight="1" x14ac:dyDescent="0.2">
      <c r="B722" s="54"/>
      <c r="C722" s="55"/>
      <c r="D722" s="55"/>
      <c r="E722" s="56"/>
      <c r="F722" s="56"/>
      <c r="G722" s="55"/>
      <c r="H722" s="57"/>
    </row>
    <row r="723" spans="2:8" ht="15" customHeight="1" x14ac:dyDescent="0.2">
      <c r="B723" s="61"/>
      <c r="C723" s="62"/>
      <c r="D723" s="62"/>
      <c r="E723" s="63"/>
      <c r="F723" s="63"/>
      <c r="G723" s="62"/>
      <c r="H723" s="64"/>
    </row>
    <row r="724" spans="2:8" ht="15" customHeight="1" x14ac:dyDescent="0.2">
      <c r="B724" s="54"/>
      <c r="C724" s="55"/>
      <c r="D724" s="55"/>
      <c r="E724" s="56"/>
      <c r="F724" s="56"/>
      <c r="G724" s="55"/>
      <c r="H724" s="57"/>
    </row>
    <row r="725" spans="2:8" ht="15" customHeight="1" x14ac:dyDescent="0.2">
      <c r="B725" s="61"/>
      <c r="C725" s="62"/>
      <c r="D725" s="62"/>
      <c r="E725" s="63"/>
      <c r="F725" s="63"/>
      <c r="G725" s="62"/>
      <c r="H725" s="64"/>
    </row>
    <row r="726" spans="2:8" ht="15" customHeight="1" x14ac:dyDescent="0.2">
      <c r="B726" s="54"/>
      <c r="C726" s="55"/>
      <c r="D726" s="55"/>
      <c r="E726" s="56"/>
      <c r="F726" s="56"/>
      <c r="G726" s="55"/>
      <c r="H726" s="57"/>
    </row>
    <row r="727" spans="2:8" ht="15" customHeight="1" x14ac:dyDescent="0.2">
      <c r="B727" s="61"/>
      <c r="C727" s="62"/>
      <c r="D727" s="62"/>
      <c r="E727" s="63"/>
      <c r="F727" s="63"/>
      <c r="G727" s="62"/>
      <c r="H727" s="64"/>
    </row>
    <row r="728" spans="2:8" ht="15" customHeight="1" x14ac:dyDescent="0.2">
      <c r="B728" s="54"/>
      <c r="C728" s="55"/>
      <c r="D728" s="55"/>
      <c r="E728" s="56"/>
      <c r="F728" s="56"/>
      <c r="G728" s="55"/>
      <c r="H728" s="57"/>
    </row>
    <row r="729" spans="2:8" ht="15" customHeight="1" x14ac:dyDescent="0.2">
      <c r="B729" s="61"/>
      <c r="C729" s="62"/>
      <c r="D729" s="62"/>
      <c r="E729" s="63"/>
      <c r="F729" s="63"/>
      <c r="G729" s="62"/>
      <c r="H729" s="64"/>
    </row>
    <row r="730" spans="2:8" ht="15" customHeight="1" x14ac:dyDescent="0.2">
      <c r="B730" s="54"/>
      <c r="C730" s="55"/>
      <c r="D730" s="55"/>
      <c r="E730" s="56"/>
      <c r="F730" s="56"/>
      <c r="G730" s="55"/>
      <c r="H730" s="57"/>
    </row>
    <row r="731" spans="2:8" ht="15" customHeight="1" x14ac:dyDescent="0.2">
      <c r="B731" s="61"/>
      <c r="C731" s="62"/>
      <c r="D731" s="62"/>
      <c r="E731" s="63"/>
      <c r="F731" s="63"/>
      <c r="G731" s="62"/>
      <c r="H731" s="64"/>
    </row>
    <row r="732" spans="2:8" ht="15" customHeight="1" x14ac:dyDescent="0.2">
      <c r="B732" s="54"/>
      <c r="C732" s="55"/>
      <c r="D732" s="55"/>
      <c r="E732" s="56"/>
      <c r="F732" s="56"/>
      <c r="G732" s="55"/>
      <c r="H732" s="57"/>
    </row>
    <row r="733" spans="2:8" ht="15" customHeight="1" x14ac:dyDescent="0.2">
      <c r="B733" s="61"/>
      <c r="C733" s="62"/>
      <c r="D733" s="62"/>
      <c r="E733" s="63"/>
      <c r="F733" s="63"/>
      <c r="G733" s="62"/>
      <c r="H733" s="64"/>
    </row>
    <row r="734" spans="2:8" ht="15" customHeight="1" x14ac:dyDescent="0.2">
      <c r="B734" s="54"/>
      <c r="C734" s="55"/>
      <c r="D734" s="55"/>
      <c r="E734" s="56"/>
      <c r="F734" s="56"/>
      <c r="G734" s="55"/>
      <c r="H734" s="57"/>
    </row>
    <row r="735" spans="2:8" ht="15" customHeight="1" x14ac:dyDescent="0.2">
      <c r="B735" s="61"/>
      <c r="C735" s="62"/>
      <c r="D735" s="62"/>
      <c r="E735" s="63"/>
      <c r="F735" s="63"/>
      <c r="G735" s="62"/>
      <c r="H735" s="64"/>
    </row>
    <row r="736" spans="2:8" ht="15" customHeight="1" x14ac:dyDescent="0.2">
      <c r="B736" s="54"/>
      <c r="C736" s="55"/>
      <c r="D736" s="55"/>
      <c r="E736" s="56"/>
      <c r="F736" s="56"/>
      <c r="G736" s="55"/>
      <c r="H736" s="57"/>
    </row>
    <row r="737" spans="2:8" ht="15" customHeight="1" x14ac:dyDescent="0.2">
      <c r="B737" s="61"/>
      <c r="C737" s="62"/>
      <c r="D737" s="62"/>
      <c r="E737" s="63"/>
      <c r="F737" s="63"/>
      <c r="G737" s="62"/>
      <c r="H737" s="64"/>
    </row>
    <row r="738" spans="2:8" ht="15" customHeight="1" x14ac:dyDescent="0.2">
      <c r="B738" s="54"/>
      <c r="C738" s="55"/>
      <c r="D738" s="55"/>
      <c r="E738" s="56"/>
      <c r="F738" s="56"/>
      <c r="G738" s="55"/>
      <c r="H738" s="57"/>
    </row>
    <row r="739" spans="2:8" ht="15" customHeight="1" x14ac:dyDescent="0.2">
      <c r="B739" s="61"/>
      <c r="C739" s="62"/>
      <c r="D739" s="62"/>
      <c r="E739" s="63"/>
      <c r="F739" s="63"/>
      <c r="G739" s="62"/>
      <c r="H739" s="64"/>
    </row>
    <row r="740" spans="2:8" ht="15" customHeight="1" x14ac:dyDescent="0.2">
      <c r="B740" s="54"/>
      <c r="C740" s="55"/>
      <c r="D740" s="55"/>
      <c r="E740" s="56"/>
      <c r="F740" s="56"/>
      <c r="G740" s="55"/>
      <c r="H740" s="57"/>
    </row>
    <row r="741" spans="2:8" ht="15" customHeight="1" x14ac:dyDescent="0.2">
      <c r="B741" s="61"/>
      <c r="C741" s="62"/>
      <c r="D741" s="62"/>
      <c r="E741" s="63"/>
      <c r="F741" s="63"/>
      <c r="G741" s="62"/>
      <c r="H741" s="64"/>
    </row>
    <row r="742" spans="2:8" ht="15" customHeight="1" x14ac:dyDescent="0.2">
      <c r="B742" s="54"/>
      <c r="C742" s="55"/>
      <c r="D742" s="55"/>
      <c r="E742" s="56"/>
      <c r="F742" s="56"/>
      <c r="G742" s="55"/>
      <c r="H742" s="57"/>
    </row>
    <row r="743" spans="2:8" ht="15" customHeight="1" x14ac:dyDescent="0.2">
      <c r="B743" s="61"/>
      <c r="C743" s="62"/>
      <c r="D743" s="62"/>
      <c r="E743" s="63"/>
      <c r="F743" s="63"/>
      <c r="G743" s="62"/>
      <c r="H743" s="64"/>
    </row>
    <row r="744" spans="2:8" ht="15" customHeight="1" x14ac:dyDescent="0.2">
      <c r="B744" s="54"/>
      <c r="C744" s="55"/>
      <c r="D744" s="55"/>
      <c r="E744" s="56"/>
      <c r="F744" s="56"/>
      <c r="G744" s="55"/>
      <c r="H744" s="57"/>
    </row>
    <row r="745" spans="2:8" ht="15" customHeight="1" x14ac:dyDescent="0.2">
      <c r="B745" s="61"/>
      <c r="C745" s="62"/>
      <c r="D745" s="62"/>
      <c r="E745" s="63"/>
      <c r="F745" s="63"/>
      <c r="G745" s="62"/>
      <c r="H745" s="64"/>
    </row>
    <row r="746" spans="2:8" ht="15" customHeight="1" x14ac:dyDescent="0.2">
      <c r="B746" s="54"/>
      <c r="C746" s="55"/>
      <c r="D746" s="55"/>
      <c r="E746" s="56"/>
      <c r="F746" s="56"/>
      <c r="G746" s="55"/>
      <c r="H746" s="57"/>
    </row>
    <row r="747" spans="2:8" ht="15" customHeight="1" x14ac:dyDescent="0.2">
      <c r="B747" s="61"/>
      <c r="C747" s="62"/>
      <c r="D747" s="62"/>
      <c r="E747" s="63"/>
      <c r="F747" s="63"/>
      <c r="G747" s="62"/>
      <c r="H747" s="64"/>
    </row>
    <row r="748" spans="2:8" ht="15" customHeight="1" x14ac:dyDescent="0.2">
      <c r="B748" s="54"/>
      <c r="C748" s="55"/>
      <c r="D748" s="55"/>
      <c r="E748" s="56"/>
      <c r="F748" s="56"/>
      <c r="G748" s="55"/>
      <c r="H748" s="57"/>
    </row>
    <row r="749" spans="2:8" ht="15" customHeight="1" x14ac:dyDescent="0.2">
      <c r="B749" s="61"/>
      <c r="C749" s="62"/>
      <c r="D749" s="62"/>
      <c r="E749" s="63"/>
      <c r="F749" s="63"/>
      <c r="G749" s="62"/>
      <c r="H749" s="64"/>
    </row>
    <row r="750" spans="2:8" ht="15" customHeight="1" x14ac:dyDescent="0.2">
      <c r="B750" s="54"/>
      <c r="C750" s="55"/>
      <c r="D750" s="55"/>
      <c r="E750" s="56"/>
      <c r="F750" s="56"/>
      <c r="G750" s="55"/>
      <c r="H750" s="57"/>
    </row>
    <row r="751" spans="2:8" ht="15" customHeight="1" x14ac:dyDescent="0.2">
      <c r="B751" s="61"/>
      <c r="C751" s="62"/>
      <c r="D751" s="62"/>
      <c r="E751" s="63"/>
      <c r="F751" s="63"/>
      <c r="G751" s="62"/>
      <c r="H751" s="64"/>
    </row>
    <row r="752" spans="2:8" ht="15" customHeight="1" x14ac:dyDescent="0.2">
      <c r="B752" s="54"/>
      <c r="C752" s="55"/>
      <c r="D752" s="55"/>
      <c r="E752" s="56"/>
      <c r="F752" s="56"/>
      <c r="G752" s="55"/>
      <c r="H752" s="57"/>
    </row>
    <row r="753" spans="2:8" ht="15" customHeight="1" x14ac:dyDescent="0.2">
      <c r="B753" s="61"/>
      <c r="C753" s="62"/>
      <c r="D753" s="62"/>
      <c r="E753" s="63"/>
      <c r="F753" s="63"/>
      <c r="G753" s="62"/>
      <c r="H753" s="64"/>
    </row>
    <row r="754" spans="2:8" ht="15" customHeight="1" x14ac:dyDescent="0.2">
      <c r="B754" s="54"/>
      <c r="C754" s="55"/>
      <c r="D754" s="55"/>
      <c r="E754" s="56"/>
      <c r="F754" s="56"/>
      <c r="G754" s="55"/>
      <c r="H754" s="57"/>
    </row>
    <row r="755" spans="2:8" ht="15" customHeight="1" x14ac:dyDescent="0.2">
      <c r="B755" s="61"/>
      <c r="C755" s="62"/>
      <c r="D755" s="62"/>
      <c r="E755" s="63"/>
      <c r="F755" s="63"/>
      <c r="G755" s="62"/>
      <c r="H755" s="64"/>
    </row>
    <row r="756" spans="2:8" ht="15" customHeight="1" x14ac:dyDescent="0.2">
      <c r="B756" s="54"/>
      <c r="C756" s="55"/>
      <c r="D756" s="55"/>
      <c r="E756" s="56"/>
      <c r="F756" s="56"/>
      <c r="G756" s="55"/>
      <c r="H756" s="57"/>
    </row>
    <row r="757" spans="2:8" ht="15" customHeight="1" x14ac:dyDescent="0.2">
      <c r="B757" s="61"/>
      <c r="C757" s="62"/>
      <c r="D757" s="62"/>
      <c r="E757" s="63"/>
      <c r="F757" s="63"/>
      <c r="G757" s="62"/>
      <c r="H757" s="64"/>
    </row>
    <row r="758" spans="2:8" ht="15" customHeight="1" x14ac:dyDescent="0.2">
      <c r="B758" s="54"/>
      <c r="C758" s="55"/>
      <c r="D758" s="55"/>
      <c r="E758" s="56"/>
      <c r="F758" s="56"/>
      <c r="G758" s="55"/>
      <c r="H758" s="57"/>
    </row>
    <row r="759" spans="2:8" ht="15" customHeight="1" x14ac:dyDescent="0.2">
      <c r="B759" s="61"/>
      <c r="C759" s="62"/>
      <c r="D759" s="62"/>
      <c r="E759" s="63"/>
      <c r="F759" s="63"/>
      <c r="G759" s="62"/>
      <c r="H759" s="64"/>
    </row>
    <row r="760" spans="2:8" ht="15" customHeight="1" x14ac:dyDescent="0.2">
      <c r="B760" s="54"/>
      <c r="C760" s="55"/>
      <c r="D760" s="55"/>
      <c r="E760" s="56"/>
      <c r="F760" s="56"/>
      <c r="G760" s="55"/>
      <c r="H760" s="57"/>
    </row>
    <row r="761" spans="2:8" ht="15" customHeight="1" x14ac:dyDescent="0.2">
      <c r="B761" s="61"/>
      <c r="C761" s="62"/>
      <c r="D761" s="62"/>
      <c r="E761" s="63"/>
      <c r="F761" s="63"/>
      <c r="G761" s="62"/>
      <c r="H761" s="64"/>
    </row>
    <row r="762" spans="2:8" ht="15" customHeight="1" x14ac:dyDescent="0.2">
      <c r="B762" s="54"/>
      <c r="C762" s="55"/>
      <c r="D762" s="55"/>
      <c r="E762" s="56"/>
      <c r="F762" s="56"/>
      <c r="G762" s="55"/>
      <c r="H762" s="57"/>
    </row>
    <row r="763" spans="2:8" ht="15" customHeight="1" x14ac:dyDescent="0.2">
      <c r="B763" s="61"/>
      <c r="C763" s="62"/>
      <c r="D763" s="62"/>
      <c r="E763" s="63"/>
      <c r="F763" s="63"/>
      <c r="G763" s="62"/>
      <c r="H763" s="64"/>
    </row>
    <row r="764" spans="2:8" ht="15" customHeight="1" x14ac:dyDescent="0.2">
      <c r="B764" s="54"/>
      <c r="C764" s="55"/>
      <c r="D764" s="55"/>
      <c r="E764" s="56"/>
      <c r="F764" s="56"/>
      <c r="G764" s="55"/>
      <c r="H764" s="57"/>
    </row>
    <row r="765" spans="2:8" ht="15" customHeight="1" x14ac:dyDescent="0.2">
      <c r="B765" s="61"/>
      <c r="C765" s="62"/>
      <c r="D765" s="62"/>
      <c r="E765" s="63"/>
      <c r="F765" s="63"/>
      <c r="G765" s="62"/>
      <c r="H765" s="64"/>
    </row>
    <row r="766" spans="2:8" ht="15" customHeight="1" x14ac:dyDescent="0.2">
      <c r="B766" s="54"/>
      <c r="C766" s="55"/>
      <c r="D766" s="55"/>
      <c r="E766" s="56"/>
      <c r="F766" s="56"/>
      <c r="G766" s="55"/>
      <c r="H766" s="57"/>
    </row>
    <row r="767" spans="2:8" ht="15" customHeight="1" x14ac:dyDescent="0.2">
      <c r="B767" s="61"/>
      <c r="C767" s="62"/>
      <c r="D767" s="62"/>
      <c r="E767" s="63"/>
      <c r="F767" s="63"/>
      <c r="G767" s="62"/>
      <c r="H767" s="64"/>
    </row>
    <row r="768" spans="2:8" ht="15" customHeight="1" x14ac:dyDescent="0.2">
      <c r="B768" s="54"/>
      <c r="C768" s="55"/>
      <c r="D768" s="55"/>
      <c r="E768" s="56"/>
      <c r="F768" s="56"/>
      <c r="G768" s="55"/>
      <c r="H768" s="57"/>
    </row>
    <row r="769" spans="2:8" ht="15" customHeight="1" x14ac:dyDescent="0.2">
      <c r="B769" s="61"/>
      <c r="C769" s="62"/>
      <c r="D769" s="62"/>
      <c r="E769" s="63"/>
      <c r="F769" s="63"/>
      <c r="G769" s="62"/>
      <c r="H769" s="64"/>
    </row>
    <row r="770" spans="2:8" ht="15" customHeight="1" x14ac:dyDescent="0.2">
      <c r="B770" s="54"/>
      <c r="C770" s="55"/>
      <c r="D770" s="55"/>
      <c r="E770" s="56"/>
      <c r="F770" s="56"/>
      <c r="G770" s="55"/>
      <c r="H770" s="57"/>
    </row>
    <row r="771" spans="2:8" ht="15" customHeight="1" x14ac:dyDescent="0.2">
      <c r="B771" s="61"/>
      <c r="C771" s="62"/>
      <c r="D771" s="62"/>
      <c r="E771" s="63"/>
      <c r="F771" s="63"/>
      <c r="G771" s="62"/>
      <c r="H771" s="64"/>
    </row>
    <row r="772" spans="2:8" ht="15" customHeight="1" x14ac:dyDescent="0.2">
      <c r="B772" s="54"/>
      <c r="C772" s="55"/>
      <c r="D772" s="55"/>
      <c r="E772" s="56"/>
      <c r="F772" s="56"/>
      <c r="G772" s="55"/>
      <c r="H772" s="57"/>
    </row>
    <row r="773" spans="2:8" ht="15" customHeight="1" x14ac:dyDescent="0.2">
      <c r="B773" s="61"/>
      <c r="C773" s="62"/>
      <c r="D773" s="62"/>
      <c r="E773" s="63"/>
      <c r="F773" s="63"/>
      <c r="G773" s="62"/>
      <c r="H773" s="64"/>
    </row>
    <row r="774" spans="2:8" ht="15" customHeight="1" x14ac:dyDescent="0.2">
      <c r="B774" s="54"/>
      <c r="C774" s="55"/>
      <c r="D774" s="55"/>
      <c r="E774" s="56"/>
      <c r="F774" s="56"/>
      <c r="G774" s="55"/>
      <c r="H774" s="57"/>
    </row>
    <row r="775" spans="2:8" ht="15" customHeight="1" x14ac:dyDescent="0.2">
      <c r="B775" s="61"/>
      <c r="C775" s="62"/>
      <c r="D775" s="62"/>
      <c r="E775" s="63"/>
      <c r="F775" s="63"/>
      <c r="G775" s="62"/>
      <c r="H775" s="64"/>
    </row>
    <row r="776" spans="2:8" ht="15" customHeight="1" x14ac:dyDescent="0.2">
      <c r="B776" s="54"/>
      <c r="C776" s="55"/>
      <c r="D776" s="55"/>
      <c r="E776" s="56"/>
      <c r="F776" s="56"/>
      <c r="G776" s="55"/>
      <c r="H776" s="57"/>
    </row>
    <row r="777" spans="2:8" ht="15" customHeight="1" x14ac:dyDescent="0.2">
      <c r="B777" s="61"/>
      <c r="C777" s="62"/>
      <c r="D777" s="62"/>
      <c r="E777" s="63"/>
      <c r="F777" s="63"/>
      <c r="G777" s="62"/>
      <c r="H777" s="64"/>
    </row>
    <row r="778" spans="2:8" ht="15" customHeight="1" x14ac:dyDescent="0.2">
      <c r="B778" s="54"/>
      <c r="C778" s="55"/>
      <c r="D778" s="55"/>
      <c r="E778" s="56"/>
      <c r="F778" s="56"/>
      <c r="G778" s="55"/>
      <c r="H778" s="57"/>
    </row>
    <row r="779" spans="2:8" ht="15" customHeight="1" x14ac:dyDescent="0.2">
      <c r="B779" s="61"/>
      <c r="C779" s="62"/>
      <c r="D779" s="62"/>
      <c r="E779" s="63"/>
      <c r="F779" s="63"/>
      <c r="G779" s="62"/>
      <c r="H779" s="64"/>
    </row>
    <row r="780" spans="2:8" ht="15" customHeight="1" x14ac:dyDescent="0.2">
      <c r="B780" s="54"/>
      <c r="C780" s="55"/>
      <c r="D780" s="55"/>
      <c r="E780" s="56"/>
      <c r="F780" s="56"/>
      <c r="G780" s="55"/>
      <c r="H780" s="57"/>
    </row>
    <row r="781" spans="2:8" ht="15" customHeight="1" x14ac:dyDescent="0.2">
      <c r="B781" s="61"/>
      <c r="C781" s="62"/>
      <c r="D781" s="62"/>
      <c r="E781" s="63"/>
      <c r="F781" s="63"/>
      <c r="G781" s="62"/>
      <c r="H781" s="64"/>
    </row>
    <row r="782" spans="2:8" ht="15" customHeight="1" x14ac:dyDescent="0.2">
      <c r="B782" s="54"/>
      <c r="C782" s="55"/>
      <c r="D782" s="55"/>
      <c r="E782" s="56"/>
      <c r="F782" s="56"/>
      <c r="G782" s="55"/>
      <c r="H782" s="57"/>
    </row>
    <row r="783" spans="2:8" ht="15" customHeight="1" x14ac:dyDescent="0.2">
      <c r="B783" s="61"/>
      <c r="C783" s="62"/>
      <c r="D783" s="62"/>
      <c r="E783" s="63"/>
      <c r="F783" s="63"/>
      <c r="G783" s="62"/>
      <c r="H783" s="64"/>
    </row>
    <row r="784" spans="2:8" ht="15" customHeight="1" x14ac:dyDescent="0.2">
      <c r="B784" s="54"/>
      <c r="C784" s="55"/>
      <c r="D784" s="55"/>
      <c r="E784" s="56"/>
      <c r="F784" s="56"/>
      <c r="G784" s="55"/>
      <c r="H784" s="57"/>
    </row>
    <row r="785" spans="2:8" ht="15" customHeight="1" x14ac:dyDescent="0.2">
      <c r="B785" s="61"/>
      <c r="C785" s="62"/>
      <c r="D785" s="62"/>
      <c r="E785" s="63"/>
      <c r="F785" s="63"/>
      <c r="G785" s="62"/>
      <c r="H785" s="64"/>
    </row>
    <row r="786" spans="2:8" ht="15" customHeight="1" x14ac:dyDescent="0.2">
      <c r="B786" s="54"/>
      <c r="C786" s="55"/>
      <c r="D786" s="55"/>
      <c r="E786" s="56"/>
      <c r="F786" s="56"/>
      <c r="G786" s="55"/>
      <c r="H786" s="57"/>
    </row>
    <row r="787" spans="2:8" ht="15" customHeight="1" x14ac:dyDescent="0.2">
      <c r="B787" s="61"/>
      <c r="C787" s="62"/>
      <c r="D787" s="62"/>
      <c r="E787" s="63"/>
      <c r="F787" s="63"/>
      <c r="G787" s="62"/>
      <c r="H787" s="64"/>
    </row>
    <row r="788" spans="2:8" ht="15" customHeight="1" x14ac:dyDescent="0.2">
      <c r="B788" s="54"/>
      <c r="C788" s="55"/>
      <c r="D788" s="55"/>
      <c r="E788" s="56"/>
      <c r="F788" s="56"/>
      <c r="G788" s="55"/>
      <c r="H788" s="57"/>
    </row>
    <row r="789" spans="2:8" ht="15" customHeight="1" x14ac:dyDescent="0.2">
      <c r="B789" s="61"/>
      <c r="C789" s="62"/>
      <c r="D789" s="62"/>
      <c r="E789" s="63"/>
      <c r="F789" s="63"/>
      <c r="G789" s="62"/>
      <c r="H789" s="64"/>
    </row>
    <row r="790" spans="2:8" ht="15" customHeight="1" x14ac:dyDescent="0.2">
      <c r="B790" s="54"/>
      <c r="C790" s="55"/>
      <c r="D790" s="55"/>
      <c r="E790" s="56"/>
      <c r="F790" s="56"/>
      <c r="G790" s="55"/>
      <c r="H790" s="57"/>
    </row>
    <row r="791" spans="2:8" ht="15" customHeight="1" x14ac:dyDescent="0.2">
      <c r="B791" s="61"/>
      <c r="C791" s="62"/>
      <c r="D791" s="62"/>
      <c r="E791" s="63"/>
      <c r="F791" s="63"/>
      <c r="G791" s="62"/>
      <c r="H791" s="64"/>
    </row>
    <row r="792" spans="2:8" ht="15" customHeight="1" x14ac:dyDescent="0.2">
      <c r="B792" s="54"/>
      <c r="C792" s="55"/>
      <c r="D792" s="55"/>
      <c r="E792" s="56"/>
      <c r="F792" s="56"/>
      <c r="G792" s="55"/>
      <c r="H792" s="57"/>
    </row>
    <row r="793" spans="2:8" ht="15" customHeight="1" x14ac:dyDescent="0.2">
      <c r="B793" s="61"/>
      <c r="C793" s="62"/>
      <c r="D793" s="62"/>
      <c r="E793" s="63"/>
      <c r="F793" s="63"/>
      <c r="G793" s="62"/>
      <c r="H793" s="64"/>
    </row>
    <row r="794" spans="2:8" ht="15" customHeight="1" x14ac:dyDescent="0.2">
      <c r="B794" s="54"/>
      <c r="C794" s="55"/>
      <c r="D794" s="55"/>
      <c r="E794" s="56"/>
      <c r="F794" s="56"/>
      <c r="G794" s="55"/>
      <c r="H794" s="57"/>
    </row>
    <row r="795" spans="2:8" ht="15" customHeight="1" x14ac:dyDescent="0.2">
      <c r="B795" s="61"/>
      <c r="C795" s="62"/>
      <c r="D795" s="62"/>
      <c r="E795" s="63"/>
      <c r="F795" s="63"/>
      <c r="G795" s="62"/>
      <c r="H795" s="64"/>
    </row>
    <row r="796" spans="2:8" ht="15" customHeight="1" x14ac:dyDescent="0.2">
      <c r="B796" s="54"/>
      <c r="C796" s="55"/>
      <c r="D796" s="55"/>
      <c r="E796" s="56"/>
      <c r="F796" s="56"/>
      <c r="G796" s="55"/>
      <c r="H796" s="57"/>
    </row>
    <row r="797" spans="2:8" ht="15" customHeight="1" x14ac:dyDescent="0.2">
      <c r="B797" s="61"/>
      <c r="C797" s="62"/>
      <c r="D797" s="62"/>
      <c r="E797" s="63"/>
      <c r="F797" s="63"/>
      <c r="G797" s="62"/>
      <c r="H797" s="64"/>
    </row>
    <row r="798" spans="2:8" ht="15" customHeight="1" x14ac:dyDescent="0.2">
      <c r="B798" s="54"/>
      <c r="C798" s="55"/>
      <c r="D798" s="55"/>
      <c r="E798" s="56"/>
      <c r="F798" s="56"/>
      <c r="G798" s="55"/>
      <c r="H798" s="57"/>
    </row>
    <row r="799" spans="2:8" ht="15" customHeight="1" x14ac:dyDescent="0.2">
      <c r="B799" s="61"/>
      <c r="C799" s="62"/>
      <c r="D799" s="62"/>
      <c r="E799" s="63"/>
      <c r="F799" s="63"/>
      <c r="G799" s="62"/>
      <c r="H799" s="64"/>
    </row>
    <row r="800" spans="2:8" ht="15" customHeight="1" x14ac:dyDescent="0.2">
      <c r="B800" s="54"/>
      <c r="C800" s="55"/>
      <c r="D800" s="55"/>
      <c r="E800" s="56"/>
      <c r="F800" s="56"/>
      <c r="G800" s="55"/>
      <c r="H800" s="57"/>
    </row>
    <row r="801" spans="2:8" ht="15" customHeight="1" x14ac:dyDescent="0.2">
      <c r="B801" s="61"/>
      <c r="C801" s="62"/>
      <c r="D801" s="62"/>
      <c r="E801" s="63"/>
      <c r="F801" s="63"/>
      <c r="G801" s="62"/>
      <c r="H801" s="64"/>
    </row>
    <row r="802" spans="2:8" ht="15" customHeight="1" x14ac:dyDescent="0.2">
      <c r="B802" s="54"/>
      <c r="C802" s="55"/>
      <c r="D802" s="55"/>
      <c r="E802" s="56"/>
      <c r="F802" s="56"/>
      <c r="G802" s="55"/>
      <c r="H802" s="57"/>
    </row>
    <row r="803" spans="2:8" ht="15" customHeight="1" x14ac:dyDescent="0.2">
      <c r="B803" s="61"/>
      <c r="C803" s="62"/>
      <c r="D803" s="62"/>
      <c r="E803" s="63"/>
      <c r="F803" s="63"/>
      <c r="G803" s="62"/>
      <c r="H803" s="64"/>
    </row>
    <row r="804" spans="2:8" ht="15" customHeight="1" x14ac:dyDescent="0.2">
      <c r="B804" s="54"/>
      <c r="C804" s="55"/>
      <c r="D804" s="55"/>
      <c r="E804" s="56"/>
      <c r="F804" s="56"/>
      <c r="G804" s="55"/>
      <c r="H804" s="57"/>
    </row>
    <row r="805" spans="2:8" ht="15" customHeight="1" x14ac:dyDescent="0.2">
      <c r="B805" s="61"/>
      <c r="C805" s="62"/>
      <c r="D805" s="62"/>
      <c r="E805" s="63"/>
      <c r="F805" s="63"/>
      <c r="G805" s="62"/>
      <c r="H805" s="64"/>
    </row>
    <row r="806" spans="2:8" ht="15" customHeight="1" x14ac:dyDescent="0.2">
      <c r="B806" s="54"/>
      <c r="C806" s="55"/>
      <c r="D806" s="55"/>
      <c r="E806" s="56"/>
      <c r="F806" s="56"/>
      <c r="G806" s="55"/>
      <c r="H806" s="57"/>
    </row>
    <row r="807" spans="2:8" ht="15" customHeight="1" x14ac:dyDescent="0.2">
      <c r="B807" s="61"/>
      <c r="C807" s="62"/>
      <c r="D807" s="62"/>
      <c r="E807" s="63"/>
      <c r="F807" s="63"/>
      <c r="G807" s="62"/>
      <c r="H807" s="64"/>
    </row>
    <row r="808" spans="2:8" ht="15" customHeight="1" x14ac:dyDescent="0.2">
      <c r="B808" s="54"/>
      <c r="C808" s="55"/>
      <c r="D808" s="55"/>
      <c r="E808" s="56"/>
      <c r="F808" s="56"/>
      <c r="G808" s="55"/>
      <c r="H808" s="57"/>
    </row>
    <row r="809" spans="2:8" ht="15" customHeight="1" x14ac:dyDescent="0.2">
      <c r="B809" s="61"/>
      <c r="C809" s="62"/>
      <c r="D809" s="62"/>
      <c r="E809" s="63"/>
      <c r="F809" s="63"/>
      <c r="G809" s="62"/>
      <c r="H809" s="64"/>
    </row>
    <row r="810" spans="2:8" ht="15" customHeight="1" x14ac:dyDescent="0.2">
      <c r="B810" s="54"/>
      <c r="C810" s="55"/>
      <c r="D810" s="55"/>
      <c r="E810" s="56"/>
      <c r="F810" s="56"/>
      <c r="G810" s="55"/>
      <c r="H810" s="57"/>
    </row>
    <row r="811" spans="2:8" ht="15" customHeight="1" x14ac:dyDescent="0.2">
      <c r="B811" s="61"/>
      <c r="C811" s="62"/>
      <c r="D811" s="62"/>
      <c r="E811" s="63"/>
      <c r="F811" s="63"/>
      <c r="G811" s="62"/>
      <c r="H811" s="64"/>
    </row>
    <row r="812" spans="2:8" ht="15" customHeight="1" x14ac:dyDescent="0.2">
      <c r="B812" s="54"/>
      <c r="C812" s="55"/>
      <c r="D812" s="55"/>
      <c r="E812" s="56"/>
      <c r="F812" s="56"/>
      <c r="G812" s="55"/>
      <c r="H812" s="57"/>
    </row>
    <row r="813" spans="2:8" ht="15" customHeight="1" x14ac:dyDescent="0.2">
      <c r="B813" s="61"/>
      <c r="C813" s="62"/>
      <c r="D813" s="62"/>
      <c r="E813" s="63"/>
      <c r="F813" s="63"/>
      <c r="G813" s="62"/>
      <c r="H813" s="64"/>
    </row>
    <row r="814" spans="2:8" ht="15" customHeight="1" x14ac:dyDescent="0.2">
      <c r="B814" s="54"/>
      <c r="C814" s="55"/>
      <c r="D814" s="55"/>
      <c r="E814" s="56"/>
      <c r="F814" s="56"/>
      <c r="G814" s="55"/>
      <c r="H814" s="57"/>
    </row>
    <row r="815" spans="2:8" ht="15" customHeight="1" x14ac:dyDescent="0.2">
      <c r="B815" s="61"/>
      <c r="C815" s="62"/>
      <c r="D815" s="62"/>
      <c r="E815" s="63"/>
      <c r="F815" s="63"/>
      <c r="G815" s="62"/>
      <c r="H815" s="64"/>
    </row>
    <row r="816" spans="2:8" ht="15" customHeight="1" x14ac:dyDescent="0.2">
      <c r="B816" s="54"/>
      <c r="C816" s="55"/>
      <c r="D816" s="55"/>
      <c r="E816" s="56"/>
      <c r="F816" s="56"/>
      <c r="G816" s="55"/>
      <c r="H816" s="57"/>
    </row>
    <row r="817" spans="2:8" ht="15" customHeight="1" x14ac:dyDescent="0.2">
      <c r="B817" s="61"/>
      <c r="C817" s="62"/>
      <c r="D817" s="62"/>
      <c r="E817" s="63"/>
      <c r="F817" s="63"/>
      <c r="G817" s="62"/>
      <c r="H817" s="64"/>
    </row>
    <row r="818" spans="2:8" ht="15" customHeight="1" x14ac:dyDescent="0.2">
      <c r="B818" s="54"/>
      <c r="C818" s="55"/>
      <c r="D818" s="55"/>
      <c r="E818" s="56"/>
      <c r="F818" s="56"/>
      <c r="G818" s="55"/>
      <c r="H818" s="57"/>
    </row>
    <row r="819" spans="2:8" ht="15" customHeight="1" x14ac:dyDescent="0.2">
      <c r="B819" s="61"/>
      <c r="C819" s="62"/>
      <c r="D819" s="62"/>
      <c r="E819" s="63"/>
      <c r="F819" s="63"/>
      <c r="G819" s="62"/>
      <c r="H819" s="64"/>
    </row>
    <row r="820" spans="2:8" ht="15" customHeight="1" x14ac:dyDescent="0.2">
      <c r="B820" s="54"/>
      <c r="C820" s="55"/>
      <c r="D820" s="55"/>
      <c r="E820" s="56"/>
      <c r="F820" s="56"/>
      <c r="G820" s="55"/>
      <c r="H820" s="57"/>
    </row>
    <row r="821" spans="2:8" ht="15" customHeight="1" x14ac:dyDescent="0.2">
      <c r="B821" s="61"/>
      <c r="C821" s="62"/>
      <c r="D821" s="62"/>
      <c r="E821" s="63"/>
      <c r="F821" s="63"/>
      <c r="G821" s="62"/>
      <c r="H821" s="64"/>
    </row>
    <row r="822" spans="2:8" ht="15" customHeight="1" x14ac:dyDescent="0.2">
      <c r="B822" s="54"/>
      <c r="C822" s="55"/>
      <c r="D822" s="55"/>
      <c r="E822" s="56"/>
      <c r="F822" s="56"/>
      <c r="G822" s="55"/>
      <c r="H822" s="57"/>
    </row>
    <row r="823" spans="2:8" ht="15" customHeight="1" x14ac:dyDescent="0.2">
      <c r="B823" s="61"/>
      <c r="C823" s="62"/>
      <c r="D823" s="62"/>
      <c r="E823" s="63"/>
      <c r="F823" s="63"/>
      <c r="G823" s="62"/>
      <c r="H823" s="64"/>
    </row>
    <row r="824" spans="2:8" ht="15" customHeight="1" x14ac:dyDescent="0.2">
      <c r="B824" s="54"/>
      <c r="C824" s="55"/>
      <c r="D824" s="55"/>
      <c r="E824" s="56"/>
      <c r="F824" s="56"/>
      <c r="G824" s="55"/>
      <c r="H824" s="57"/>
    </row>
    <row r="825" spans="2:8" ht="15" customHeight="1" x14ac:dyDescent="0.2">
      <c r="B825" s="61"/>
      <c r="C825" s="62"/>
      <c r="D825" s="62"/>
      <c r="E825" s="63"/>
      <c r="F825" s="63"/>
      <c r="G825" s="62"/>
      <c r="H825" s="64"/>
    </row>
    <row r="826" spans="2:8" ht="15" customHeight="1" x14ac:dyDescent="0.2">
      <c r="B826" s="54"/>
      <c r="C826" s="55"/>
      <c r="D826" s="55"/>
      <c r="E826" s="56"/>
      <c r="F826" s="56"/>
      <c r="G826" s="55"/>
      <c r="H826" s="57"/>
    </row>
    <row r="827" spans="2:8" ht="15" customHeight="1" x14ac:dyDescent="0.2">
      <c r="B827" s="61"/>
      <c r="C827" s="62"/>
      <c r="D827" s="62"/>
      <c r="E827" s="63"/>
      <c r="F827" s="63"/>
      <c r="G827" s="62"/>
      <c r="H827" s="64"/>
    </row>
    <row r="828" spans="2:8" ht="15" customHeight="1" x14ac:dyDescent="0.2">
      <c r="B828" s="54"/>
      <c r="C828" s="55"/>
      <c r="D828" s="55"/>
      <c r="E828" s="56"/>
      <c r="F828" s="56"/>
      <c r="G828" s="55"/>
      <c r="H828" s="57"/>
    </row>
    <row r="829" spans="2:8" ht="15" customHeight="1" x14ac:dyDescent="0.2">
      <c r="B829" s="61"/>
      <c r="C829" s="62"/>
      <c r="D829" s="62"/>
      <c r="E829" s="63"/>
      <c r="F829" s="63"/>
      <c r="G829" s="62"/>
      <c r="H829" s="64"/>
    </row>
    <row r="830" spans="2:8" ht="15" customHeight="1" x14ac:dyDescent="0.2">
      <c r="B830" s="54"/>
      <c r="C830" s="55"/>
      <c r="D830" s="55"/>
      <c r="E830" s="56"/>
      <c r="F830" s="56"/>
      <c r="G830" s="55"/>
      <c r="H830" s="57"/>
    </row>
    <row r="831" spans="2:8" ht="15" customHeight="1" x14ac:dyDescent="0.2">
      <c r="B831" s="61"/>
      <c r="C831" s="62"/>
      <c r="D831" s="62"/>
      <c r="E831" s="63"/>
      <c r="F831" s="63"/>
      <c r="G831" s="62"/>
      <c r="H831" s="64"/>
    </row>
    <row r="832" spans="2:8" ht="15" customHeight="1" x14ac:dyDescent="0.2">
      <c r="B832" s="54"/>
      <c r="C832" s="55"/>
      <c r="D832" s="55"/>
      <c r="E832" s="56"/>
      <c r="F832" s="56"/>
      <c r="G832" s="55"/>
      <c r="H832" s="57"/>
    </row>
    <row r="833" spans="2:8" ht="15" customHeight="1" x14ac:dyDescent="0.2">
      <c r="B833" s="61"/>
      <c r="C833" s="62"/>
      <c r="D833" s="62"/>
      <c r="E833" s="63"/>
      <c r="F833" s="63"/>
      <c r="G833" s="62"/>
      <c r="H833" s="64"/>
    </row>
    <row r="834" spans="2:8" ht="15" customHeight="1" x14ac:dyDescent="0.2">
      <c r="B834" s="54"/>
      <c r="C834" s="55"/>
      <c r="D834" s="55"/>
      <c r="E834" s="56"/>
      <c r="F834" s="56"/>
      <c r="G834" s="55"/>
      <c r="H834" s="57"/>
    </row>
    <row r="835" spans="2:8" ht="15" customHeight="1" x14ac:dyDescent="0.2">
      <c r="B835" s="61"/>
      <c r="C835" s="62"/>
      <c r="D835" s="62"/>
      <c r="E835" s="63"/>
      <c r="F835" s="63"/>
      <c r="G835" s="62"/>
      <c r="H835" s="64"/>
    </row>
    <row r="836" spans="2:8" ht="15" customHeight="1" x14ac:dyDescent="0.2">
      <c r="B836" s="54"/>
      <c r="C836" s="55"/>
      <c r="D836" s="55"/>
      <c r="E836" s="56"/>
      <c r="F836" s="56"/>
      <c r="G836" s="55"/>
      <c r="H836" s="57"/>
    </row>
    <row r="837" spans="2:8" ht="15" customHeight="1" x14ac:dyDescent="0.2">
      <c r="B837" s="61"/>
      <c r="C837" s="62"/>
      <c r="D837" s="62"/>
      <c r="E837" s="63"/>
      <c r="F837" s="63"/>
      <c r="G837" s="62"/>
      <c r="H837" s="64"/>
    </row>
    <row r="838" spans="2:8" ht="15" customHeight="1" x14ac:dyDescent="0.2">
      <c r="B838" s="54"/>
      <c r="C838" s="55"/>
      <c r="D838" s="55"/>
      <c r="E838" s="56"/>
      <c r="F838" s="56"/>
      <c r="G838" s="55"/>
      <c r="H838" s="57"/>
    </row>
    <row r="839" spans="2:8" ht="15" customHeight="1" x14ac:dyDescent="0.2">
      <c r="B839" s="61"/>
      <c r="C839" s="62"/>
      <c r="D839" s="62"/>
      <c r="E839" s="63"/>
      <c r="F839" s="63"/>
      <c r="G839" s="62"/>
      <c r="H839" s="64"/>
    </row>
    <row r="840" spans="2:8" ht="15" customHeight="1" x14ac:dyDescent="0.2">
      <c r="B840" s="54"/>
      <c r="C840" s="55"/>
      <c r="D840" s="55"/>
      <c r="E840" s="56"/>
      <c r="F840" s="56"/>
      <c r="G840" s="55"/>
      <c r="H840" s="57"/>
    </row>
    <row r="841" spans="2:8" ht="15" customHeight="1" x14ac:dyDescent="0.2">
      <c r="B841" s="61"/>
      <c r="C841" s="62"/>
      <c r="D841" s="62"/>
      <c r="E841" s="63"/>
      <c r="F841" s="63"/>
      <c r="G841" s="62"/>
      <c r="H841" s="64"/>
    </row>
    <row r="842" spans="2:8" ht="15" customHeight="1" x14ac:dyDescent="0.2">
      <c r="B842" s="54"/>
      <c r="C842" s="55"/>
      <c r="D842" s="55"/>
      <c r="E842" s="56"/>
      <c r="F842" s="56"/>
      <c r="G842" s="55"/>
      <c r="H842" s="57"/>
    </row>
    <row r="843" spans="2:8" ht="15" customHeight="1" x14ac:dyDescent="0.2">
      <c r="B843" s="61"/>
      <c r="C843" s="62"/>
      <c r="D843" s="62"/>
      <c r="E843" s="63"/>
      <c r="F843" s="63"/>
      <c r="G843" s="62"/>
      <c r="H843" s="64"/>
    </row>
    <row r="844" spans="2:8" ht="15" customHeight="1" x14ac:dyDescent="0.2">
      <c r="B844" s="54"/>
      <c r="C844" s="55"/>
      <c r="D844" s="55"/>
      <c r="E844" s="56"/>
      <c r="F844" s="56"/>
      <c r="G844" s="55"/>
      <c r="H844" s="57"/>
    </row>
    <row r="845" spans="2:8" ht="15" customHeight="1" x14ac:dyDescent="0.2">
      <c r="B845" s="61"/>
      <c r="C845" s="62"/>
      <c r="D845" s="62"/>
      <c r="E845" s="63"/>
      <c r="F845" s="63"/>
      <c r="G845" s="62"/>
      <c r="H845" s="64"/>
    </row>
    <row r="846" spans="2:8" ht="15" customHeight="1" x14ac:dyDescent="0.2">
      <c r="B846" s="54"/>
      <c r="C846" s="55"/>
      <c r="D846" s="55"/>
      <c r="E846" s="56"/>
      <c r="F846" s="56"/>
      <c r="G846" s="55"/>
      <c r="H846" s="57"/>
    </row>
    <row r="847" spans="2:8" ht="15" customHeight="1" x14ac:dyDescent="0.2">
      <c r="B847" s="61"/>
      <c r="C847" s="62"/>
      <c r="D847" s="62"/>
      <c r="E847" s="63"/>
      <c r="F847" s="63"/>
      <c r="G847" s="62"/>
      <c r="H847" s="64"/>
    </row>
    <row r="848" spans="2:8" ht="15" customHeight="1" x14ac:dyDescent="0.2">
      <c r="B848" s="54"/>
      <c r="C848" s="55"/>
      <c r="D848" s="55"/>
      <c r="E848" s="56"/>
      <c r="F848" s="56"/>
      <c r="G848" s="55"/>
      <c r="H848" s="57"/>
    </row>
    <row r="849" spans="2:8" ht="15" customHeight="1" x14ac:dyDescent="0.2">
      <c r="B849" s="61"/>
      <c r="C849" s="62"/>
      <c r="D849" s="62"/>
      <c r="E849" s="63"/>
      <c r="F849" s="63"/>
      <c r="G849" s="62"/>
      <c r="H849" s="64"/>
    </row>
    <row r="850" spans="2:8" ht="15" customHeight="1" x14ac:dyDescent="0.2">
      <c r="B850" s="54"/>
      <c r="C850" s="55"/>
      <c r="D850" s="55"/>
      <c r="E850" s="56"/>
      <c r="F850" s="56"/>
      <c r="G850" s="55"/>
      <c r="H850" s="57"/>
    </row>
    <row r="851" spans="2:8" ht="15" customHeight="1" x14ac:dyDescent="0.2">
      <c r="B851" s="61"/>
      <c r="C851" s="62"/>
      <c r="D851" s="62"/>
      <c r="E851" s="63"/>
      <c r="F851" s="63"/>
      <c r="G851" s="62"/>
      <c r="H851" s="64"/>
    </row>
    <row r="852" spans="2:8" ht="15" customHeight="1" x14ac:dyDescent="0.2">
      <c r="B852" s="54"/>
      <c r="C852" s="55"/>
      <c r="D852" s="55"/>
      <c r="E852" s="56"/>
      <c r="F852" s="56"/>
      <c r="G852" s="55"/>
      <c r="H852" s="57"/>
    </row>
    <row r="853" spans="2:8" ht="15" customHeight="1" x14ac:dyDescent="0.2">
      <c r="B853" s="61"/>
      <c r="C853" s="62"/>
      <c r="D853" s="62"/>
      <c r="E853" s="63"/>
      <c r="F853" s="63"/>
      <c r="G853" s="62"/>
      <c r="H853" s="64"/>
    </row>
    <row r="854" spans="2:8" ht="15" customHeight="1" x14ac:dyDescent="0.2">
      <c r="B854" s="54"/>
      <c r="C854" s="55"/>
      <c r="D854" s="55"/>
      <c r="E854" s="56"/>
      <c r="F854" s="56"/>
      <c r="G854" s="55"/>
      <c r="H854" s="57"/>
    </row>
    <row r="855" spans="2:8" ht="15" customHeight="1" x14ac:dyDescent="0.2">
      <c r="B855" s="61"/>
      <c r="C855" s="62"/>
      <c r="D855" s="62"/>
      <c r="E855" s="63"/>
      <c r="F855" s="63"/>
      <c r="G855" s="62"/>
      <c r="H855" s="64"/>
    </row>
    <row r="856" spans="2:8" ht="15" customHeight="1" x14ac:dyDescent="0.2">
      <c r="B856" s="54"/>
      <c r="C856" s="55"/>
      <c r="D856" s="55"/>
      <c r="E856" s="56"/>
      <c r="F856" s="56"/>
      <c r="G856" s="55"/>
      <c r="H856" s="57"/>
    </row>
    <row r="857" spans="2:8" ht="15" customHeight="1" x14ac:dyDescent="0.2">
      <c r="B857" s="61"/>
      <c r="C857" s="62"/>
      <c r="D857" s="62"/>
      <c r="E857" s="63"/>
      <c r="F857" s="63"/>
      <c r="G857" s="62"/>
      <c r="H857" s="64"/>
    </row>
    <row r="858" spans="2:8" ht="15" customHeight="1" x14ac:dyDescent="0.2">
      <c r="B858" s="54"/>
      <c r="C858" s="55"/>
      <c r="D858" s="55"/>
      <c r="E858" s="56"/>
      <c r="F858" s="56"/>
      <c r="G858" s="55"/>
      <c r="H858" s="57"/>
    </row>
    <row r="859" spans="2:8" ht="15" customHeight="1" x14ac:dyDescent="0.2">
      <c r="B859" s="61"/>
      <c r="C859" s="62"/>
      <c r="D859" s="62"/>
      <c r="E859" s="63"/>
      <c r="F859" s="63"/>
      <c r="G859" s="62"/>
      <c r="H859" s="64"/>
    </row>
    <row r="860" spans="2:8" ht="15" customHeight="1" x14ac:dyDescent="0.2">
      <c r="B860" s="54"/>
      <c r="C860" s="55"/>
      <c r="D860" s="55"/>
      <c r="E860" s="56"/>
      <c r="F860" s="56"/>
      <c r="G860" s="55"/>
      <c r="H860" s="57"/>
    </row>
    <row r="861" spans="2:8" ht="15" customHeight="1" x14ac:dyDescent="0.2">
      <c r="B861" s="61"/>
      <c r="C861" s="62"/>
      <c r="D861" s="62"/>
      <c r="E861" s="63"/>
      <c r="F861" s="63"/>
      <c r="G861" s="62"/>
      <c r="H861" s="64"/>
    </row>
    <row r="862" spans="2:8" ht="15" customHeight="1" x14ac:dyDescent="0.2">
      <c r="B862" s="54"/>
      <c r="C862" s="55"/>
      <c r="D862" s="55"/>
      <c r="E862" s="56"/>
      <c r="F862" s="56"/>
      <c r="G862" s="55"/>
      <c r="H862" s="57"/>
    </row>
    <row r="863" spans="2:8" ht="15" customHeight="1" x14ac:dyDescent="0.2">
      <c r="B863" s="61"/>
      <c r="C863" s="62"/>
      <c r="D863" s="62"/>
      <c r="E863" s="63"/>
      <c r="F863" s="63"/>
      <c r="G863" s="62"/>
      <c r="H863" s="64"/>
    </row>
    <row r="864" spans="2:8" ht="15" customHeight="1" x14ac:dyDescent="0.2">
      <c r="B864" s="54"/>
      <c r="C864" s="55"/>
      <c r="D864" s="55"/>
      <c r="E864" s="56"/>
      <c r="F864" s="56"/>
      <c r="G864" s="55"/>
      <c r="H864" s="57"/>
    </row>
    <row r="865" spans="2:8" ht="15" customHeight="1" x14ac:dyDescent="0.2">
      <c r="B865" s="61"/>
      <c r="C865" s="62"/>
      <c r="D865" s="62"/>
      <c r="E865" s="63"/>
      <c r="F865" s="63"/>
      <c r="G865" s="62"/>
      <c r="H865" s="64"/>
    </row>
    <row r="866" spans="2:8" ht="15" customHeight="1" x14ac:dyDescent="0.2">
      <c r="B866" s="54"/>
      <c r="C866" s="55"/>
      <c r="D866" s="55"/>
      <c r="E866" s="56"/>
      <c r="F866" s="56"/>
      <c r="G866" s="55"/>
      <c r="H866" s="57"/>
    </row>
    <row r="867" spans="2:8" ht="15" customHeight="1" x14ac:dyDescent="0.2">
      <c r="B867" s="61"/>
      <c r="C867" s="62"/>
      <c r="D867" s="62"/>
      <c r="E867" s="63"/>
      <c r="F867" s="63"/>
      <c r="G867" s="62"/>
      <c r="H867" s="64"/>
    </row>
    <row r="868" spans="2:8" ht="15" customHeight="1" x14ac:dyDescent="0.2">
      <c r="B868" s="54"/>
      <c r="C868" s="55"/>
      <c r="D868" s="55"/>
      <c r="E868" s="56"/>
      <c r="F868" s="56"/>
      <c r="G868" s="55"/>
      <c r="H868" s="57"/>
    </row>
    <row r="869" spans="2:8" ht="15" customHeight="1" x14ac:dyDescent="0.2">
      <c r="B869" s="61"/>
      <c r="C869" s="62"/>
      <c r="D869" s="62"/>
      <c r="E869" s="63"/>
      <c r="F869" s="63"/>
      <c r="G869" s="62"/>
      <c r="H869" s="64"/>
    </row>
    <row r="870" spans="2:8" ht="15" customHeight="1" x14ac:dyDescent="0.2">
      <c r="B870" s="54"/>
      <c r="C870" s="55"/>
      <c r="D870" s="55"/>
      <c r="E870" s="56"/>
      <c r="F870" s="56"/>
      <c r="G870" s="55"/>
      <c r="H870" s="57"/>
    </row>
    <row r="871" spans="2:8" ht="15" customHeight="1" x14ac:dyDescent="0.2">
      <c r="B871" s="61"/>
      <c r="C871" s="62"/>
      <c r="D871" s="62"/>
      <c r="E871" s="63"/>
      <c r="F871" s="63"/>
      <c r="G871" s="62"/>
      <c r="H871" s="64"/>
    </row>
    <row r="872" spans="2:8" ht="15" customHeight="1" x14ac:dyDescent="0.2">
      <c r="B872" s="54"/>
      <c r="C872" s="55"/>
      <c r="D872" s="55"/>
      <c r="E872" s="56"/>
      <c r="F872" s="56"/>
      <c r="G872" s="55"/>
      <c r="H872" s="57"/>
    </row>
    <row r="873" spans="2:8" ht="15" customHeight="1" x14ac:dyDescent="0.2">
      <c r="B873" s="61"/>
      <c r="C873" s="62"/>
      <c r="D873" s="62"/>
      <c r="E873" s="63"/>
      <c r="F873" s="63"/>
      <c r="G873" s="62"/>
      <c r="H873" s="64"/>
    </row>
    <row r="874" spans="2:8" ht="15" customHeight="1" x14ac:dyDescent="0.2">
      <c r="B874" s="54"/>
      <c r="C874" s="55"/>
      <c r="D874" s="55"/>
      <c r="E874" s="56"/>
      <c r="F874" s="56"/>
      <c r="G874" s="55"/>
      <c r="H874" s="57"/>
    </row>
    <row r="875" spans="2:8" ht="15" customHeight="1" x14ac:dyDescent="0.2">
      <c r="B875" s="61"/>
      <c r="C875" s="62"/>
      <c r="D875" s="62"/>
      <c r="E875" s="63"/>
      <c r="F875" s="63"/>
      <c r="G875" s="62"/>
      <c r="H875" s="64"/>
    </row>
    <row r="876" spans="2:8" ht="15" customHeight="1" x14ac:dyDescent="0.2">
      <c r="B876" s="54"/>
      <c r="C876" s="55"/>
      <c r="D876" s="55"/>
      <c r="E876" s="56"/>
      <c r="F876" s="56"/>
      <c r="G876" s="55"/>
      <c r="H876" s="57"/>
    </row>
    <row r="877" spans="2:8" ht="15" customHeight="1" x14ac:dyDescent="0.2">
      <c r="B877" s="61"/>
      <c r="C877" s="62"/>
      <c r="D877" s="62"/>
      <c r="E877" s="63"/>
      <c r="F877" s="63"/>
      <c r="G877" s="62"/>
      <c r="H877" s="64"/>
    </row>
    <row r="878" spans="2:8" ht="15" customHeight="1" x14ac:dyDescent="0.2">
      <c r="B878" s="54"/>
      <c r="C878" s="55"/>
      <c r="D878" s="55"/>
      <c r="E878" s="56"/>
      <c r="F878" s="56"/>
      <c r="G878" s="55"/>
      <c r="H878" s="57"/>
    </row>
    <row r="879" spans="2:8" ht="15" customHeight="1" x14ac:dyDescent="0.2">
      <c r="B879" s="61"/>
      <c r="C879" s="62"/>
      <c r="D879" s="62"/>
      <c r="E879" s="63"/>
      <c r="F879" s="63"/>
      <c r="G879" s="62"/>
      <c r="H879" s="64"/>
    </row>
    <row r="880" spans="2:8" ht="15" customHeight="1" x14ac:dyDescent="0.2">
      <c r="B880" s="54"/>
      <c r="C880" s="55"/>
      <c r="D880" s="55"/>
      <c r="E880" s="56"/>
      <c r="F880" s="56"/>
      <c r="G880" s="55"/>
      <c r="H880" s="57"/>
    </row>
    <row r="881" spans="2:8" ht="15" customHeight="1" x14ac:dyDescent="0.2">
      <c r="B881" s="61"/>
      <c r="C881" s="62"/>
      <c r="D881" s="62"/>
      <c r="E881" s="63"/>
      <c r="F881" s="63"/>
      <c r="G881" s="62"/>
      <c r="H881" s="64"/>
    </row>
    <row r="882" spans="2:8" ht="15" customHeight="1" x14ac:dyDescent="0.2">
      <c r="B882" s="54"/>
      <c r="C882" s="55"/>
      <c r="D882" s="55"/>
      <c r="E882" s="56"/>
      <c r="F882" s="56"/>
      <c r="G882" s="55"/>
      <c r="H882" s="57"/>
    </row>
    <row r="883" spans="2:8" ht="15" customHeight="1" x14ac:dyDescent="0.2">
      <c r="B883" s="61"/>
      <c r="C883" s="62"/>
      <c r="D883" s="62"/>
      <c r="E883" s="63"/>
      <c r="F883" s="63"/>
      <c r="G883" s="62"/>
      <c r="H883" s="64"/>
    </row>
    <row r="884" spans="2:8" ht="15" customHeight="1" x14ac:dyDescent="0.2">
      <c r="B884" s="54"/>
      <c r="C884" s="55"/>
      <c r="D884" s="55"/>
      <c r="E884" s="56"/>
      <c r="F884" s="56"/>
      <c r="G884" s="55"/>
      <c r="H884" s="57"/>
    </row>
    <row r="885" spans="2:8" ht="15" customHeight="1" x14ac:dyDescent="0.2">
      <c r="B885" s="61"/>
      <c r="C885" s="62"/>
      <c r="D885" s="62"/>
      <c r="E885" s="63"/>
      <c r="F885" s="63"/>
      <c r="G885" s="62"/>
      <c r="H885" s="64"/>
    </row>
    <row r="886" spans="2:8" ht="15" customHeight="1" x14ac:dyDescent="0.2">
      <c r="B886" s="54"/>
      <c r="C886" s="55"/>
      <c r="D886" s="55"/>
      <c r="E886" s="56"/>
      <c r="F886" s="56"/>
      <c r="G886" s="55"/>
      <c r="H886" s="57"/>
    </row>
    <row r="887" spans="2:8" ht="15" customHeight="1" x14ac:dyDescent="0.2">
      <c r="B887" s="61"/>
      <c r="C887" s="62"/>
      <c r="D887" s="62"/>
      <c r="E887" s="63"/>
      <c r="F887" s="63"/>
      <c r="G887" s="62"/>
      <c r="H887" s="64"/>
    </row>
    <row r="888" spans="2:8" ht="15" customHeight="1" x14ac:dyDescent="0.2">
      <c r="B888" s="54"/>
      <c r="C888" s="55"/>
      <c r="D888" s="55"/>
      <c r="E888" s="56"/>
      <c r="F888" s="56"/>
      <c r="G888" s="55"/>
      <c r="H888" s="57"/>
    </row>
    <row r="889" spans="2:8" ht="15" customHeight="1" x14ac:dyDescent="0.2">
      <c r="B889" s="61"/>
      <c r="C889" s="62"/>
      <c r="D889" s="62"/>
      <c r="E889" s="63"/>
      <c r="F889" s="63"/>
      <c r="G889" s="62"/>
      <c r="H889" s="64"/>
    </row>
    <row r="890" spans="2:8" ht="15" customHeight="1" x14ac:dyDescent="0.2">
      <c r="B890" s="54"/>
      <c r="C890" s="55"/>
      <c r="D890" s="55"/>
      <c r="E890" s="56"/>
      <c r="F890" s="56"/>
      <c r="G890" s="55"/>
      <c r="H890" s="57"/>
    </row>
    <row r="891" spans="2:8" ht="15" customHeight="1" x14ac:dyDescent="0.2">
      <c r="B891" s="61"/>
      <c r="C891" s="62"/>
      <c r="D891" s="62"/>
      <c r="E891" s="63"/>
      <c r="F891" s="63"/>
      <c r="G891" s="62"/>
      <c r="H891" s="64"/>
    </row>
    <row r="892" spans="2:8" ht="15" customHeight="1" x14ac:dyDescent="0.2">
      <c r="B892" s="54"/>
      <c r="C892" s="55"/>
      <c r="D892" s="55"/>
      <c r="E892" s="56"/>
      <c r="F892" s="56"/>
      <c r="G892" s="55"/>
      <c r="H892" s="57"/>
    </row>
    <row r="893" spans="2:8" ht="15" customHeight="1" x14ac:dyDescent="0.2">
      <c r="B893" s="61"/>
      <c r="C893" s="62"/>
      <c r="D893" s="62"/>
      <c r="E893" s="63"/>
      <c r="F893" s="63"/>
      <c r="G893" s="62"/>
      <c r="H893" s="64"/>
    </row>
    <row r="894" spans="2:8" ht="15" customHeight="1" x14ac:dyDescent="0.2">
      <c r="B894" s="54"/>
      <c r="C894" s="55"/>
      <c r="D894" s="55"/>
      <c r="E894" s="56"/>
      <c r="F894" s="56"/>
      <c r="G894" s="55"/>
      <c r="H894" s="57"/>
    </row>
    <row r="895" spans="2:8" ht="15" customHeight="1" x14ac:dyDescent="0.2">
      <c r="B895" s="61"/>
      <c r="C895" s="62"/>
      <c r="D895" s="62"/>
      <c r="E895" s="63"/>
      <c r="F895" s="63"/>
      <c r="G895" s="62"/>
      <c r="H895" s="64"/>
    </row>
    <row r="896" spans="2:8" ht="15" customHeight="1" x14ac:dyDescent="0.2">
      <c r="B896" s="54"/>
      <c r="C896" s="55"/>
      <c r="D896" s="55"/>
      <c r="E896" s="56"/>
      <c r="F896" s="56"/>
      <c r="G896" s="55"/>
      <c r="H896" s="57"/>
    </row>
    <row r="897" spans="2:8" ht="15" customHeight="1" x14ac:dyDescent="0.2">
      <c r="B897" s="61"/>
      <c r="C897" s="62"/>
      <c r="D897" s="62"/>
      <c r="E897" s="63"/>
      <c r="F897" s="63"/>
      <c r="G897" s="62"/>
      <c r="H897" s="64"/>
    </row>
    <row r="898" spans="2:8" ht="15" customHeight="1" x14ac:dyDescent="0.2">
      <c r="B898" s="54"/>
      <c r="C898" s="55"/>
      <c r="D898" s="55"/>
      <c r="E898" s="56"/>
      <c r="F898" s="56"/>
      <c r="G898" s="55"/>
      <c r="H898" s="57"/>
    </row>
    <row r="899" spans="2:8" ht="15" customHeight="1" x14ac:dyDescent="0.2">
      <c r="B899" s="61"/>
      <c r="C899" s="62"/>
      <c r="D899" s="62"/>
      <c r="E899" s="63"/>
      <c r="F899" s="63"/>
      <c r="G899" s="62"/>
      <c r="H899" s="64"/>
    </row>
    <row r="900" spans="2:8" ht="15" customHeight="1" x14ac:dyDescent="0.2">
      <c r="B900" s="54"/>
      <c r="C900" s="55"/>
      <c r="D900" s="55"/>
      <c r="E900" s="56"/>
      <c r="F900" s="56"/>
      <c r="G900" s="55"/>
      <c r="H900" s="57"/>
    </row>
    <row r="901" spans="2:8" ht="15" customHeight="1" x14ac:dyDescent="0.2">
      <c r="B901" s="61"/>
      <c r="C901" s="62"/>
      <c r="D901" s="62"/>
      <c r="E901" s="63"/>
      <c r="F901" s="63"/>
      <c r="G901" s="62"/>
      <c r="H901" s="64"/>
    </row>
    <row r="902" spans="2:8" ht="15" customHeight="1" x14ac:dyDescent="0.2">
      <c r="B902" s="54"/>
      <c r="C902" s="55"/>
      <c r="D902" s="55"/>
      <c r="E902" s="56"/>
      <c r="F902" s="56"/>
      <c r="G902" s="55"/>
      <c r="H902" s="57"/>
    </row>
    <row r="903" spans="2:8" ht="15" customHeight="1" x14ac:dyDescent="0.2">
      <c r="B903" s="61"/>
      <c r="C903" s="62"/>
      <c r="D903" s="62"/>
      <c r="E903" s="63"/>
      <c r="F903" s="63"/>
      <c r="G903" s="62"/>
      <c r="H903" s="64"/>
    </row>
    <row r="904" spans="2:8" ht="15" customHeight="1" x14ac:dyDescent="0.2">
      <c r="B904" s="54"/>
      <c r="C904" s="55"/>
      <c r="D904" s="55"/>
      <c r="E904" s="56"/>
      <c r="F904" s="56"/>
      <c r="G904" s="55"/>
      <c r="H904" s="57"/>
    </row>
    <row r="905" spans="2:8" ht="15" customHeight="1" x14ac:dyDescent="0.2">
      <c r="B905" s="61"/>
      <c r="C905" s="62"/>
      <c r="D905" s="62"/>
      <c r="E905" s="63"/>
      <c r="F905" s="63"/>
      <c r="G905" s="62"/>
      <c r="H905" s="64"/>
    </row>
    <row r="906" spans="2:8" ht="15" customHeight="1" x14ac:dyDescent="0.2">
      <c r="B906" s="54"/>
      <c r="C906" s="55"/>
      <c r="D906" s="55"/>
      <c r="E906" s="56"/>
      <c r="F906" s="56"/>
      <c r="G906" s="55"/>
      <c r="H906" s="57"/>
    </row>
    <row r="907" spans="2:8" ht="15" customHeight="1" x14ac:dyDescent="0.2">
      <c r="B907" s="61"/>
      <c r="C907" s="62"/>
      <c r="D907" s="62"/>
      <c r="E907" s="63"/>
      <c r="F907" s="63"/>
      <c r="G907" s="62"/>
      <c r="H907" s="64"/>
    </row>
    <row r="908" spans="2:8" ht="15" customHeight="1" x14ac:dyDescent="0.2">
      <c r="B908" s="54"/>
      <c r="C908" s="55"/>
      <c r="D908" s="55"/>
      <c r="E908" s="56"/>
      <c r="F908" s="56"/>
      <c r="G908" s="55"/>
      <c r="H908" s="57"/>
    </row>
    <row r="909" spans="2:8" ht="15" customHeight="1" x14ac:dyDescent="0.2">
      <c r="B909" s="61"/>
      <c r="C909" s="62"/>
      <c r="D909" s="62"/>
      <c r="E909" s="63"/>
      <c r="F909" s="63"/>
      <c r="G909" s="62"/>
      <c r="H909" s="64"/>
    </row>
    <row r="910" spans="2:8" ht="15" customHeight="1" x14ac:dyDescent="0.2">
      <c r="B910" s="54"/>
      <c r="C910" s="55"/>
      <c r="D910" s="55"/>
      <c r="E910" s="56"/>
      <c r="F910" s="56"/>
      <c r="G910" s="55"/>
      <c r="H910" s="57"/>
    </row>
    <row r="911" spans="2:8" ht="15" customHeight="1" x14ac:dyDescent="0.2">
      <c r="B911" s="61"/>
      <c r="C911" s="62"/>
      <c r="D911" s="62"/>
      <c r="E911" s="63"/>
      <c r="F911" s="63"/>
      <c r="G911" s="62"/>
      <c r="H911" s="64"/>
    </row>
    <row r="912" spans="2:8" ht="15" customHeight="1" x14ac:dyDescent="0.2">
      <c r="B912" s="54"/>
      <c r="C912" s="55"/>
      <c r="D912" s="55"/>
      <c r="E912" s="56"/>
      <c r="F912" s="56"/>
      <c r="G912" s="55"/>
      <c r="H912" s="57"/>
    </row>
    <row r="913" spans="2:8" ht="15" customHeight="1" x14ac:dyDescent="0.2">
      <c r="B913" s="61"/>
      <c r="C913" s="62"/>
      <c r="D913" s="62"/>
      <c r="E913" s="63"/>
      <c r="F913" s="63"/>
      <c r="G913" s="62"/>
      <c r="H913" s="64"/>
    </row>
    <row r="914" spans="2:8" ht="15" customHeight="1" x14ac:dyDescent="0.2">
      <c r="B914" s="54"/>
      <c r="C914" s="55"/>
      <c r="D914" s="55"/>
      <c r="E914" s="56"/>
      <c r="F914" s="56"/>
      <c r="G914" s="55"/>
      <c r="H914" s="57"/>
    </row>
    <row r="915" spans="2:8" ht="15" customHeight="1" x14ac:dyDescent="0.2">
      <c r="B915" s="61"/>
      <c r="C915" s="62"/>
      <c r="D915" s="62"/>
      <c r="E915" s="63"/>
      <c r="F915" s="63"/>
      <c r="G915" s="62"/>
      <c r="H915" s="64"/>
    </row>
    <row r="916" spans="2:8" ht="15" customHeight="1" x14ac:dyDescent="0.2">
      <c r="B916" s="54"/>
      <c r="C916" s="55"/>
      <c r="D916" s="55"/>
      <c r="E916" s="56"/>
      <c r="F916" s="56"/>
      <c r="G916" s="55"/>
      <c r="H916" s="57"/>
    </row>
    <row r="917" spans="2:8" ht="15" customHeight="1" x14ac:dyDescent="0.2">
      <c r="B917" s="61"/>
      <c r="C917" s="62"/>
      <c r="D917" s="62"/>
      <c r="E917" s="63"/>
      <c r="F917" s="63"/>
      <c r="G917" s="62"/>
      <c r="H917" s="64"/>
    </row>
    <row r="918" spans="2:8" ht="15" customHeight="1" x14ac:dyDescent="0.2">
      <c r="B918" s="54"/>
      <c r="C918" s="55"/>
      <c r="D918" s="55"/>
      <c r="E918" s="56"/>
      <c r="F918" s="56"/>
      <c r="G918" s="55"/>
      <c r="H918" s="57"/>
    </row>
    <row r="919" spans="2:8" ht="15" customHeight="1" x14ac:dyDescent="0.2">
      <c r="B919" s="61"/>
      <c r="C919" s="62"/>
      <c r="D919" s="62"/>
      <c r="E919" s="63"/>
      <c r="F919" s="63"/>
      <c r="G919" s="62"/>
      <c r="H919" s="64"/>
    </row>
    <row r="920" spans="2:8" ht="15" customHeight="1" x14ac:dyDescent="0.2">
      <c r="B920" s="54"/>
      <c r="C920" s="55"/>
      <c r="D920" s="55"/>
      <c r="E920" s="56"/>
      <c r="F920" s="56"/>
      <c r="G920" s="55"/>
      <c r="H920" s="57"/>
    </row>
    <row r="921" spans="2:8" ht="15" customHeight="1" x14ac:dyDescent="0.2">
      <c r="B921" s="61"/>
      <c r="C921" s="62"/>
      <c r="D921" s="62"/>
      <c r="E921" s="63"/>
      <c r="F921" s="63"/>
      <c r="G921" s="62"/>
      <c r="H921" s="64"/>
    </row>
    <row r="922" spans="2:8" ht="15" customHeight="1" x14ac:dyDescent="0.2">
      <c r="B922" s="54"/>
      <c r="C922" s="55"/>
      <c r="D922" s="55"/>
      <c r="E922" s="56"/>
      <c r="F922" s="56"/>
      <c r="G922" s="55"/>
      <c r="H922" s="57"/>
    </row>
    <row r="923" spans="2:8" ht="15" customHeight="1" x14ac:dyDescent="0.2">
      <c r="B923" s="61"/>
      <c r="C923" s="62"/>
      <c r="D923" s="62"/>
      <c r="E923" s="63"/>
      <c r="F923" s="63"/>
      <c r="G923" s="62"/>
      <c r="H923" s="64"/>
    </row>
    <row r="924" spans="2:8" ht="15" customHeight="1" x14ac:dyDescent="0.2">
      <c r="B924" s="54"/>
      <c r="C924" s="55"/>
      <c r="D924" s="55"/>
      <c r="E924" s="56"/>
      <c r="F924" s="56"/>
      <c r="G924" s="55"/>
      <c r="H924" s="57"/>
    </row>
    <row r="925" spans="2:8" ht="15" customHeight="1" x14ac:dyDescent="0.2">
      <c r="B925" s="61"/>
      <c r="C925" s="62"/>
      <c r="D925" s="62"/>
      <c r="E925" s="63"/>
      <c r="F925" s="63"/>
      <c r="G925" s="62"/>
      <c r="H925" s="64"/>
    </row>
    <row r="926" spans="2:8" ht="15" customHeight="1" x14ac:dyDescent="0.2">
      <c r="B926" s="54"/>
      <c r="C926" s="55"/>
      <c r="D926" s="55"/>
      <c r="E926" s="56"/>
      <c r="F926" s="56"/>
      <c r="G926" s="55"/>
      <c r="H926" s="57"/>
    </row>
    <row r="927" spans="2:8" ht="15" customHeight="1" x14ac:dyDescent="0.2">
      <c r="B927" s="61"/>
      <c r="C927" s="62"/>
      <c r="D927" s="62"/>
      <c r="E927" s="63"/>
      <c r="F927" s="63"/>
      <c r="G927" s="62"/>
      <c r="H927" s="64"/>
    </row>
    <row r="928" spans="2:8" ht="15" customHeight="1" x14ac:dyDescent="0.2">
      <c r="B928" s="54"/>
      <c r="C928" s="55"/>
      <c r="D928" s="55"/>
      <c r="E928" s="56"/>
      <c r="F928" s="56"/>
      <c r="G928" s="55"/>
      <c r="H928" s="57"/>
    </row>
    <row r="929" spans="2:8" ht="15" customHeight="1" x14ac:dyDescent="0.2">
      <c r="B929" s="61"/>
      <c r="C929" s="62"/>
      <c r="D929" s="62"/>
      <c r="E929" s="63"/>
      <c r="F929" s="63"/>
      <c r="G929" s="62"/>
      <c r="H929" s="64"/>
    </row>
    <row r="930" spans="2:8" ht="15" customHeight="1" x14ac:dyDescent="0.2">
      <c r="B930" s="54"/>
      <c r="C930" s="55"/>
      <c r="D930" s="55"/>
      <c r="E930" s="56"/>
      <c r="F930" s="56"/>
      <c r="G930" s="55"/>
      <c r="H930" s="57"/>
    </row>
    <row r="931" spans="2:8" ht="15" customHeight="1" x14ac:dyDescent="0.2">
      <c r="B931" s="61"/>
      <c r="C931" s="62"/>
      <c r="D931" s="62"/>
      <c r="E931" s="63"/>
      <c r="F931" s="63"/>
      <c r="G931" s="62"/>
      <c r="H931" s="64"/>
    </row>
    <row r="932" spans="2:8" ht="15" customHeight="1" x14ac:dyDescent="0.2">
      <c r="B932" s="54"/>
      <c r="C932" s="55"/>
      <c r="D932" s="55"/>
      <c r="E932" s="56"/>
      <c r="F932" s="56"/>
      <c r="G932" s="55"/>
      <c r="H932" s="57"/>
    </row>
    <row r="933" spans="2:8" ht="15" customHeight="1" x14ac:dyDescent="0.2">
      <c r="B933" s="61"/>
      <c r="C933" s="62"/>
      <c r="D933" s="62"/>
      <c r="E933" s="63"/>
      <c r="F933" s="63"/>
      <c r="G933" s="62"/>
      <c r="H933" s="64"/>
    </row>
    <row r="934" spans="2:8" ht="15" customHeight="1" x14ac:dyDescent="0.2">
      <c r="B934" s="54"/>
      <c r="C934" s="55"/>
      <c r="D934" s="55"/>
      <c r="E934" s="56"/>
      <c r="F934" s="56"/>
      <c r="G934" s="55"/>
      <c r="H934" s="57"/>
    </row>
    <row r="935" spans="2:8" ht="15" customHeight="1" x14ac:dyDescent="0.2">
      <c r="B935" s="61"/>
      <c r="C935" s="62"/>
      <c r="D935" s="62"/>
      <c r="E935" s="63"/>
      <c r="F935" s="63"/>
      <c r="G935" s="62"/>
      <c r="H935" s="64"/>
    </row>
    <row r="936" spans="2:8" ht="15" customHeight="1" x14ac:dyDescent="0.2">
      <c r="B936" s="54"/>
      <c r="C936" s="55"/>
      <c r="D936" s="55"/>
      <c r="E936" s="56"/>
      <c r="F936" s="56"/>
      <c r="G936" s="55"/>
      <c r="H936" s="57"/>
    </row>
    <row r="937" spans="2:8" ht="15" customHeight="1" x14ac:dyDescent="0.2">
      <c r="B937" s="61"/>
      <c r="C937" s="62"/>
      <c r="D937" s="62"/>
      <c r="E937" s="63"/>
      <c r="F937" s="63"/>
      <c r="G937" s="62"/>
      <c r="H937" s="64"/>
    </row>
    <row r="938" spans="2:8" ht="15" customHeight="1" x14ac:dyDescent="0.2">
      <c r="B938" s="54"/>
      <c r="C938" s="55"/>
      <c r="D938" s="55"/>
      <c r="E938" s="56"/>
      <c r="F938" s="56"/>
      <c r="G938" s="55"/>
      <c r="H938" s="57"/>
    </row>
    <row r="939" spans="2:8" ht="15" customHeight="1" x14ac:dyDescent="0.2">
      <c r="B939" s="61"/>
      <c r="C939" s="62"/>
      <c r="D939" s="62"/>
      <c r="E939" s="63"/>
      <c r="F939" s="63"/>
      <c r="G939" s="62"/>
      <c r="H939" s="64"/>
    </row>
    <row r="940" spans="2:8" ht="15" customHeight="1" x14ac:dyDescent="0.2">
      <c r="B940" s="54"/>
      <c r="C940" s="55"/>
      <c r="D940" s="55"/>
      <c r="E940" s="56"/>
      <c r="F940" s="56"/>
      <c r="G940" s="55"/>
      <c r="H940" s="57"/>
    </row>
    <row r="941" spans="2:8" ht="15" customHeight="1" x14ac:dyDescent="0.2">
      <c r="B941" s="61"/>
      <c r="C941" s="62"/>
      <c r="D941" s="62"/>
      <c r="E941" s="63"/>
      <c r="F941" s="63"/>
      <c r="G941" s="62"/>
      <c r="H941" s="64"/>
    </row>
    <row r="942" spans="2:8" ht="15" customHeight="1" x14ac:dyDescent="0.2">
      <c r="B942" s="54"/>
      <c r="C942" s="55"/>
      <c r="D942" s="55"/>
      <c r="E942" s="56"/>
      <c r="F942" s="56"/>
      <c r="G942" s="55"/>
      <c r="H942" s="57"/>
    </row>
    <row r="943" spans="2:8" ht="15" customHeight="1" x14ac:dyDescent="0.2">
      <c r="B943" s="61"/>
      <c r="C943" s="62"/>
      <c r="D943" s="62"/>
      <c r="E943" s="63"/>
      <c r="F943" s="63"/>
      <c r="G943" s="62"/>
      <c r="H943" s="64"/>
    </row>
    <row r="944" spans="2:8" ht="15" customHeight="1" x14ac:dyDescent="0.2">
      <c r="B944" s="54"/>
      <c r="C944" s="55"/>
      <c r="D944" s="55"/>
      <c r="E944" s="56"/>
      <c r="F944" s="56"/>
      <c r="G944" s="55"/>
      <c r="H944" s="57"/>
    </row>
    <row r="945" spans="2:8" ht="15" customHeight="1" x14ac:dyDescent="0.2">
      <c r="B945" s="61"/>
      <c r="C945" s="62"/>
      <c r="D945" s="62"/>
      <c r="E945" s="63"/>
      <c r="F945" s="63"/>
      <c r="G945" s="62"/>
      <c r="H945" s="64"/>
    </row>
    <row r="946" spans="2:8" ht="15" customHeight="1" x14ac:dyDescent="0.2">
      <c r="B946" s="54"/>
      <c r="C946" s="55"/>
      <c r="D946" s="55"/>
      <c r="E946" s="56"/>
      <c r="F946" s="56"/>
      <c r="G946" s="55"/>
      <c r="H946" s="57"/>
    </row>
    <row r="947" spans="2:8" ht="15" customHeight="1" x14ac:dyDescent="0.2">
      <c r="B947" s="61"/>
      <c r="C947" s="62"/>
      <c r="D947" s="62"/>
      <c r="E947" s="63"/>
      <c r="F947" s="63"/>
      <c r="G947" s="62"/>
      <c r="H947" s="64"/>
    </row>
    <row r="948" spans="2:8" ht="15" customHeight="1" x14ac:dyDescent="0.2">
      <c r="B948" s="54"/>
      <c r="C948" s="55"/>
      <c r="D948" s="55"/>
      <c r="E948" s="56"/>
      <c r="F948" s="56"/>
      <c r="G948" s="55"/>
      <c r="H948" s="57"/>
    </row>
    <row r="949" spans="2:8" ht="15" customHeight="1" x14ac:dyDescent="0.2">
      <c r="B949" s="61"/>
      <c r="C949" s="62"/>
      <c r="D949" s="62"/>
      <c r="E949" s="63"/>
      <c r="F949" s="63"/>
      <c r="G949" s="62"/>
      <c r="H949" s="64"/>
    </row>
    <row r="950" spans="2:8" ht="15" customHeight="1" x14ac:dyDescent="0.2">
      <c r="B950" s="54"/>
      <c r="C950" s="55"/>
      <c r="D950" s="55"/>
      <c r="E950" s="56"/>
      <c r="F950" s="56"/>
      <c r="G950" s="55"/>
      <c r="H950" s="57"/>
    </row>
    <row r="951" spans="2:8" ht="15" customHeight="1" x14ac:dyDescent="0.2">
      <c r="B951" s="61"/>
      <c r="C951" s="62"/>
      <c r="D951" s="62"/>
      <c r="E951" s="63"/>
      <c r="F951" s="63"/>
      <c r="G951" s="62"/>
      <c r="H951" s="64"/>
    </row>
    <row r="952" spans="2:8" ht="15" customHeight="1" x14ac:dyDescent="0.2">
      <c r="B952" s="54"/>
      <c r="C952" s="55"/>
      <c r="D952" s="55"/>
      <c r="E952" s="56"/>
      <c r="F952" s="56"/>
      <c r="G952" s="55"/>
      <c r="H952" s="57"/>
    </row>
    <row r="953" spans="2:8" ht="15" customHeight="1" x14ac:dyDescent="0.2">
      <c r="B953" s="61"/>
      <c r="C953" s="62"/>
      <c r="D953" s="62"/>
      <c r="E953" s="63"/>
      <c r="F953" s="63"/>
      <c r="G953" s="62"/>
      <c r="H953" s="64"/>
    </row>
    <row r="954" spans="2:8" ht="15" customHeight="1" x14ac:dyDescent="0.2">
      <c r="B954" s="54"/>
      <c r="C954" s="55"/>
      <c r="D954" s="55"/>
      <c r="E954" s="56"/>
      <c r="F954" s="56"/>
      <c r="G954" s="55"/>
      <c r="H954" s="57"/>
    </row>
    <row r="955" spans="2:8" ht="15" customHeight="1" x14ac:dyDescent="0.2">
      <c r="B955" s="61"/>
      <c r="C955" s="62"/>
      <c r="D955" s="62"/>
      <c r="E955" s="63"/>
      <c r="F955" s="63"/>
      <c r="G955" s="62"/>
      <c r="H955" s="64"/>
    </row>
    <row r="956" spans="2:8" ht="15" customHeight="1" x14ac:dyDescent="0.2">
      <c r="B956" s="54"/>
      <c r="C956" s="55"/>
      <c r="D956" s="55"/>
      <c r="E956" s="56"/>
      <c r="F956" s="56"/>
      <c r="G956" s="55"/>
      <c r="H956" s="57"/>
    </row>
    <row r="957" spans="2:8" ht="15" customHeight="1" x14ac:dyDescent="0.2">
      <c r="B957" s="61"/>
      <c r="C957" s="62"/>
      <c r="D957" s="62"/>
      <c r="E957" s="63"/>
      <c r="F957" s="63"/>
      <c r="G957" s="62"/>
      <c r="H957" s="64"/>
    </row>
    <row r="958" spans="2:8" ht="15" customHeight="1" x14ac:dyDescent="0.2">
      <c r="B958" s="54"/>
      <c r="C958" s="55"/>
      <c r="D958" s="55"/>
      <c r="E958" s="56"/>
      <c r="F958" s="56"/>
      <c r="G958" s="55"/>
      <c r="H958" s="57"/>
    </row>
    <row r="959" spans="2:8" ht="15" customHeight="1" x14ac:dyDescent="0.2">
      <c r="B959" s="61"/>
      <c r="C959" s="62"/>
      <c r="D959" s="62"/>
      <c r="E959" s="63"/>
      <c r="F959" s="63"/>
      <c r="G959" s="62"/>
      <c r="H959" s="64"/>
    </row>
    <row r="960" spans="2:8" ht="15" customHeight="1" x14ac:dyDescent="0.2">
      <c r="B960" s="54"/>
      <c r="C960" s="55"/>
      <c r="D960" s="55"/>
      <c r="E960" s="56"/>
      <c r="F960" s="56"/>
      <c r="G960" s="55"/>
      <c r="H960" s="57"/>
    </row>
    <row r="961" spans="2:8" ht="15" customHeight="1" x14ac:dyDescent="0.2">
      <c r="B961" s="61"/>
      <c r="C961" s="62"/>
      <c r="D961" s="62"/>
      <c r="E961" s="63"/>
      <c r="F961" s="63"/>
      <c r="G961" s="62"/>
      <c r="H961" s="64"/>
    </row>
    <row r="962" spans="2:8" ht="15" customHeight="1" x14ac:dyDescent="0.2">
      <c r="B962" s="54"/>
      <c r="C962" s="55"/>
      <c r="D962" s="55"/>
      <c r="E962" s="56"/>
      <c r="F962" s="56"/>
      <c r="G962" s="55"/>
      <c r="H962" s="57"/>
    </row>
    <row r="963" spans="2:8" ht="15" customHeight="1" x14ac:dyDescent="0.2">
      <c r="B963" s="61"/>
      <c r="C963" s="62"/>
      <c r="D963" s="62"/>
      <c r="E963" s="63"/>
      <c r="F963" s="63"/>
      <c r="G963" s="62"/>
      <c r="H963" s="64"/>
    </row>
    <row r="964" spans="2:8" ht="15" customHeight="1" x14ac:dyDescent="0.2">
      <c r="B964" s="54"/>
      <c r="C964" s="55"/>
      <c r="D964" s="55"/>
      <c r="E964" s="56"/>
      <c r="F964" s="56"/>
      <c r="G964" s="55"/>
      <c r="H964" s="57"/>
    </row>
    <row r="965" spans="2:8" ht="15" customHeight="1" x14ac:dyDescent="0.2">
      <c r="B965" s="61"/>
      <c r="C965" s="62"/>
      <c r="D965" s="62"/>
      <c r="E965" s="63"/>
      <c r="F965" s="63"/>
      <c r="G965" s="62"/>
      <c r="H965" s="64"/>
    </row>
    <row r="966" spans="2:8" ht="15" customHeight="1" x14ac:dyDescent="0.2">
      <c r="B966" s="54"/>
      <c r="C966" s="55"/>
      <c r="D966" s="55"/>
      <c r="E966" s="56"/>
      <c r="F966" s="56"/>
      <c r="G966" s="55"/>
      <c r="H966" s="57"/>
    </row>
    <row r="967" spans="2:8" ht="15" customHeight="1" x14ac:dyDescent="0.2">
      <c r="B967" s="61"/>
      <c r="C967" s="62"/>
      <c r="D967" s="62"/>
      <c r="E967" s="63"/>
      <c r="F967" s="63"/>
      <c r="G967" s="62"/>
      <c r="H967" s="64"/>
    </row>
    <row r="968" spans="2:8" ht="15" customHeight="1" x14ac:dyDescent="0.2">
      <c r="B968" s="54"/>
      <c r="C968" s="55"/>
      <c r="D968" s="55"/>
      <c r="E968" s="56"/>
      <c r="F968" s="56"/>
      <c r="G968" s="55"/>
      <c r="H968" s="57"/>
    </row>
    <row r="969" spans="2:8" ht="15" customHeight="1" x14ac:dyDescent="0.2">
      <c r="B969" s="61"/>
      <c r="C969" s="62"/>
      <c r="D969" s="62"/>
      <c r="E969" s="63"/>
      <c r="F969" s="63"/>
      <c r="G969" s="62"/>
      <c r="H969" s="64"/>
    </row>
    <row r="970" spans="2:8" ht="15" customHeight="1" x14ac:dyDescent="0.2">
      <c r="B970" s="54"/>
      <c r="C970" s="55"/>
      <c r="D970" s="55"/>
      <c r="E970" s="56"/>
      <c r="F970" s="56"/>
      <c r="G970" s="55"/>
      <c r="H970" s="57"/>
    </row>
    <row r="971" spans="2:8" ht="15" customHeight="1" x14ac:dyDescent="0.2">
      <c r="B971" s="61"/>
      <c r="C971" s="62"/>
      <c r="D971" s="62"/>
      <c r="E971" s="63"/>
      <c r="F971" s="63"/>
      <c r="G971" s="62"/>
      <c r="H971" s="64"/>
    </row>
    <row r="972" spans="2:8" ht="15" customHeight="1" x14ac:dyDescent="0.2">
      <c r="B972" s="54"/>
      <c r="C972" s="55"/>
      <c r="D972" s="55"/>
      <c r="E972" s="56"/>
      <c r="F972" s="56"/>
      <c r="G972" s="55"/>
      <c r="H972" s="57"/>
    </row>
    <row r="973" spans="2:8" ht="15" customHeight="1" x14ac:dyDescent="0.2">
      <c r="B973" s="61"/>
      <c r="C973" s="62"/>
      <c r="D973" s="62"/>
      <c r="E973" s="63"/>
      <c r="F973" s="63"/>
      <c r="G973" s="62"/>
      <c r="H973" s="64"/>
    </row>
    <row r="974" spans="2:8" ht="15" customHeight="1" x14ac:dyDescent="0.2">
      <c r="B974" s="54"/>
      <c r="C974" s="55"/>
      <c r="D974" s="55"/>
      <c r="E974" s="56"/>
      <c r="F974" s="56"/>
      <c r="G974" s="55"/>
      <c r="H974" s="57"/>
    </row>
    <row r="975" spans="2:8" ht="15" customHeight="1" x14ac:dyDescent="0.2">
      <c r="B975" s="61"/>
      <c r="C975" s="62"/>
      <c r="D975" s="62"/>
      <c r="E975" s="63"/>
      <c r="F975" s="63"/>
      <c r="G975" s="62"/>
      <c r="H975" s="64"/>
    </row>
    <row r="976" spans="2:8" ht="15" customHeight="1" x14ac:dyDescent="0.2">
      <c r="B976" s="54"/>
      <c r="C976" s="55"/>
      <c r="D976" s="55"/>
      <c r="E976" s="56"/>
      <c r="F976" s="56"/>
      <c r="G976" s="55"/>
      <c r="H976" s="57"/>
    </row>
    <row r="977" spans="2:8" ht="15" customHeight="1" x14ac:dyDescent="0.2">
      <c r="B977" s="61"/>
      <c r="C977" s="62"/>
      <c r="D977" s="62"/>
      <c r="E977" s="63"/>
      <c r="F977" s="63"/>
      <c r="G977" s="62"/>
      <c r="H977" s="64"/>
    </row>
    <row r="978" spans="2:8" ht="15" customHeight="1" x14ac:dyDescent="0.2">
      <c r="B978" s="54"/>
      <c r="C978" s="55"/>
      <c r="D978" s="55"/>
      <c r="E978" s="56"/>
      <c r="F978" s="56"/>
      <c r="G978" s="55"/>
      <c r="H978" s="57"/>
    </row>
    <row r="979" spans="2:8" ht="15" customHeight="1" x14ac:dyDescent="0.2">
      <c r="B979" s="61"/>
      <c r="C979" s="62"/>
      <c r="D979" s="62"/>
      <c r="E979" s="63"/>
      <c r="F979" s="63"/>
      <c r="G979" s="62"/>
      <c r="H979" s="64"/>
    </row>
    <row r="980" spans="2:8" ht="15" customHeight="1" x14ac:dyDescent="0.2">
      <c r="B980" s="54"/>
      <c r="C980" s="55"/>
      <c r="D980" s="55"/>
      <c r="E980" s="56"/>
      <c r="F980" s="56"/>
      <c r="G980" s="55"/>
      <c r="H980" s="57"/>
    </row>
    <row r="981" spans="2:8" ht="15" customHeight="1" x14ac:dyDescent="0.2">
      <c r="B981" s="61"/>
      <c r="C981" s="62"/>
      <c r="D981" s="62"/>
      <c r="E981" s="63"/>
      <c r="F981" s="63"/>
      <c r="G981" s="62"/>
      <c r="H981" s="64"/>
    </row>
    <row r="982" spans="2:8" ht="15" customHeight="1" x14ac:dyDescent="0.2">
      <c r="B982" s="54"/>
      <c r="C982" s="55"/>
      <c r="D982" s="55"/>
      <c r="E982" s="56"/>
      <c r="F982" s="56"/>
      <c r="G982" s="55"/>
      <c r="H982" s="57"/>
    </row>
    <row r="983" spans="2:8" ht="15" customHeight="1" x14ac:dyDescent="0.2">
      <c r="B983" s="61"/>
      <c r="C983" s="62"/>
      <c r="D983" s="62"/>
      <c r="E983" s="63"/>
      <c r="F983" s="63"/>
      <c r="G983" s="62"/>
      <c r="H983" s="64"/>
    </row>
    <row r="984" spans="2:8" ht="15" customHeight="1" x14ac:dyDescent="0.2">
      <c r="B984" s="54"/>
      <c r="C984" s="55"/>
      <c r="D984" s="55"/>
      <c r="E984" s="56"/>
      <c r="F984" s="56"/>
      <c r="G984" s="55"/>
      <c r="H984" s="57"/>
    </row>
    <row r="985" spans="2:8" ht="15" customHeight="1" x14ac:dyDescent="0.2">
      <c r="B985" s="61"/>
      <c r="C985" s="62"/>
      <c r="D985" s="62"/>
      <c r="E985" s="63"/>
      <c r="F985" s="63"/>
      <c r="G985" s="62"/>
      <c r="H985" s="64"/>
    </row>
    <row r="986" spans="2:8" ht="15" customHeight="1" x14ac:dyDescent="0.2">
      <c r="B986" s="54"/>
      <c r="C986" s="55"/>
      <c r="D986" s="55"/>
      <c r="E986" s="56"/>
      <c r="F986" s="56"/>
      <c r="G986" s="55"/>
      <c r="H986" s="57"/>
    </row>
    <row r="987" spans="2:8" ht="15" customHeight="1" x14ac:dyDescent="0.2">
      <c r="B987" s="61"/>
      <c r="C987" s="62"/>
      <c r="D987" s="62"/>
      <c r="E987" s="63"/>
      <c r="F987" s="63"/>
      <c r="G987" s="62"/>
      <c r="H987" s="64"/>
    </row>
    <row r="988" spans="2:8" ht="15" customHeight="1" x14ac:dyDescent="0.2">
      <c r="B988" s="54"/>
      <c r="C988" s="55"/>
      <c r="D988" s="55"/>
      <c r="E988" s="56"/>
      <c r="F988" s="56"/>
      <c r="G988" s="55"/>
      <c r="H988" s="57"/>
    </row>
    <row r="989" spans="2:8" ht="15" customHeight="1" x14ac:dyDescent="0.2">
      <c r="B989" s="61"/>
      <c r="C989" s="62"/>
      <c r="D989" s="62"/>
      <c r="E989" s="63"/>
      <c r="F989" s="63"/>
      <c r="G989" s="62"/>
      <c r="H989" s="64"/>
    </row>
    <row r="990" spans="2:8" ht="15" customHeight="1" x14ac:dyDescent="0.2">
      <c r="B990" s="54"/>
      <c r="C990" s="55"/>
      <c r="D990" s="55"/>
      <c r="E990" s="56"/>
      <c r="F990" s="56"/>
      <c r="G990" s="55"/>
      <c r="H990" s="57"/>
    </row>
    <row r="991" spans="2:8" ht="15" customHeight="1" x14ac:dyDescent="0.2">
      <c r="B991" s="61"/>
      <c r="C991" s="62"/>
      <c r="D991" s="62"/>
      <c r="E991" s="63"/>
      <c r="F991" s="63"/>
      <c r="G991" s="62"/>
      <c r="H991" s="64"/>
    </row>
    <row r="992" spans="2:8" ht="15" customHeight="1" x14ac:dyDescent="0.2">
      <c r="B992" s="54"/>
      <c r="C992" s="55"/>
      <c r="D992" s="55"/>
      <c r="E992" s="56"/>
      <c r="F992" s="56"/>
      <c r="G992" s="55"/>
      <c r="H992" s="57"/>
    </row>
    <row r="993" spans="2:8" ht="15" customHeight="1" x14ac:dyDescent="0.2">
      <c r="B993" s="61"/>
      <c r="C993" s="62"/>
      <c r="D993" s="62"/>
      <c r="E993" s="63"/>
      <c r="F993" s="63"/>
      <c r="G993" s="62"/>
      <c r="H993" s="64"/>
    </row>
    <row r="994" spans="2:8" ht="15" customHeight="1" x14ac:dyDescent="0.2">
      <c r="B994" s="54"/>
      <c r="C994" s="55"/>
      <c r="D994" s="55"/>
      <c r="E994" s="56"/>
      <c r="F994" s="56"/>
      <c r="G994" s="55"/>
      <c r="H994" s="57"/>
    </row>
    <row r="995" spans="2:8" ht="15" customHeight="1" x14ac:dyDescent="0.2">
      <c r="B995" s="61"/>
      <c r="C995" s="62"/>
      <c r="D995" s="62"/>
      <c r="E995" s="63"/>
      <c r="F995" s="63"/>
      <c r="G995" s="62"/>
      <c r="H995" s="64"/>
    </row>
    <row r="996" spans="2:8" ht="15" customHeight="1" x14ac:dyDescent="0.2">
      <c r="B996" s="54"/>
      <c r="C996" s="55"/>
      <c r="D996" s="55"/>
      <c r="E996" s="56"/>
      <c r="F996" s="56"/>
      <c r="G996" s="55"/>
      <c r="H996" s="57"/>
    </row>
    <row r="997" spans="2:8" ht="15" customHeight="1" x14ac:dyDescent="0.2">
      <c r="B997" s="61"/>
      <c r="C997" s="62"/>
      <c r="D997" s="62"/>
      <c r="E997" s="63"/>
      <c r="F997" s="63"/>
      <c r="G997" s="62"/>
      <c r="H997" s="64"/>
    </row>
    <row r="998" spans="2:8" ht="15" customHeight="1" x14ac:dyDescent="0.2">
      <c r="B998" s="54"/>
      <c r="C998" s="55"/>
      <c r="D998" s="55"/>
      <c r="E998" s="56"/>
      <c r="F998" s="56"/>
      <c r="G998" s="55"/>
      <c r="H998" s="57"/>
    </row>
    <row r="999" spans="2:8" ht="15" customHeight="1" x14ac:dyDescent="0.2">
      <c r="B999" s="61"/>
      <c r="C999" s="62"/>
      <c r="D999" s="62"/>
      <c r="E999" s="63"/>
      <c r="F999" s="63"/>
      <c r="G999" s="62"/>
      <c r="H999" s="64"/>
    </row>
    <row r="1000" spans="2:8" ht="15" customHeight="1" x14ac:dyDescent="0.2">
      <c r="B1000" s="54"/>
      <c r="C1000" s="55"/>
      <c r="D1000" s="55"/>
      <c r="E1000" s="56"/>
      <c r="F1000" s="56"/>
      <c r="G1000" s="55"/>
      <c r="H1000" s="57"/>
    </row>
  </sheetData>
  <mergeCells count="45">
    <mergeCell ref="B1:H1"/>
    <mergeCell ref="K1:Q1"/>
    <mergeCell ref="B3:H3"/>
    <mergeCell ref="K3:Q3"/>
    <mergeCell ref="B5:C5"/>
    <mergeCell ref="D5:E5"/>
    <mergeCell ref="F5:G5"/>
    <mergeCell ref="L5:M5"/>
    <mergeCell ref="P5:Q5"/>
    <mergeCell ref="B6:C6"/>
    <mergeCell ref="D6:E6"/>
    <mergeCell ref="F6:G6"/>
    <mergeCell ref="L6:M6"/>
    <mergeCell ref="P6:Q6"/>
    <mergeCell ref="K9:Q9"/>
    <mergeCell ref="K10:M10"/>
    <mergeCell ref="O10:Q10"/>
    <mergeCell ref="K27:M27"/>
    <mergeCell ref="O27:Q27"/>
    <mergeCell ref="K44:M44"/>
    <mergeCell ref="O44:Q44"/>
    <mergeCell ref="K61:M61"/>
    <mergeCell ref="O61:Q61"/>
    <mergeCell ref="K78:M78"/>
    <mergeCell ref="O78:Q78"/>
    <mergeCell ref="K95:M95"/>
    <mergeCell ref="O95:Q95"/>
    <mergeCell ref="K112:M112"/>
    <mergeCell ref="O112:Q112"/>
    <mergeCell ref="K129:M129"/>
    <mergeCell ref="O129:Q129"/>
    <mergeCell ref="K146:M146"/>
    <mergeCell ref="O146:Q146"/>
    <mergeCell ref="K163:M163"/>
    <mergeCell ref="O163:Q163"/>
    <mergeCell ref="K180:M180"/>
    <mergeCell ref="O180:Q180"/>
    <mergeCell ref="K248:M248"/>
    <mergeCell ref="O248:Q248"/>
    <mergeCell ref="K197:M197"/>
    <mergeCell ref="O197:Q197"/>
    <mergeCell ref="K214:M214"/>
    <mergeCell ref="O214:Q214"/>
    <mergeCell ref="K231:M231"/>
    <mergeCell ref="O231:Q231"/>
  </mergeCells>
  <conditionalFormatting sqref="E10:E1000">
    <cfRule type="cellIs" dxfId="1" priority="2" operator="equal">
      <formula>"Zugesagt"</formula>
    </cfRule>
    <cfRule type="cellIs" dxfId="0" priority="3" operator="equal">
      <formula>"Abgesagt"</formula>
    </cfRule>
  </conditionalFormatting>
  <dataValidations count="3">
    <dataValidation type="list" allowBlank="1" sqref="D10:D309" xr:uid="{00000000-0002-0000-0300-000000000000}">
      <formula1>"Braut,Bräutigam,Gemeinsam"</formula1>
      <formula2>0</formula2>
    </dataValidation>
    <dataValidation type="list" allowBlank="1" sqref="E10:E309" xr:uid="{00000000-0002-0000-0300-000001000000}">
      <formula1>"Offen,Zugesagt,Abgesagt"</formula1>
      <formula2>0</formula2>
    </dataValidation>
    <dataValidation type="list" allowBlank="1" sqref="G10:G309" xr:uid="{00000000-0002-0000-0300-000002000000}">
      <formula1>"1,2,3,4,5,6,7,8,9,10,11,12,13,14,15,16,17,18,19,20,21,22,23,24,25,26,27,28,29,30"</formula1>
      <formula2>0</formula2>
    </dataValidation>
  </dataValidations>
  <pageMargins left="0.3" right="0.3" top="0.4" bottom="0.4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Übersicht</vt:lpstr>
      <vt:lpstr>Budgetplaner</vt:lpstr>
      <vt:lpstr>Checkliste</vt:lpstr>
      <vt:lpstr>Gästeliste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fhoch3</dc:creator>
  <cp:keywords/>
  <dc:description/>
  <cp:lastModifiedBy>TB</cp:lastModifiedBy>
  <cp:revision>12</cp:revision>
  <dcterms:created xsi:type="dcterms:W3CDTF">2026-07-02T06:28:16Z</dcterms:created>
  <dcterms:modified xsi:type="dcterms:W3CDTF">2026-07-31T15:50:06Z</dcterms:modified>
  <cp:category/>
  <dc:language>en-US</dc:language>
</cp:coreProperties>
</file>